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11.xml" ContentType="application/vnd.openxmlformats-officedocument.drawing+xml"/>
  <Override PartName="/xl/charts/chart1.xml" ContentType="application/vnd.openxmlformats-officedocument.drawingml.chart+xml"/>
  <Override PartName="/xl/drawings/drawing1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2.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omments3.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codeName="ThisWorkbook"/>
  <mc:AlternateContent xmlns:mc="http://schemas.openxmlformats.org/markup-compatibility/2006">
    <mc:Choice Requires="x15">
      <x15ac:absPath xmlns:x15ac="http://schemas.microsoft.com/office/spreadsheetml/2010/11/ac" url="C:\Users\hp\OneDrive\LOTUS Systems\LOTUS Small Buildings\02 - LOTUS SB V1\3_ Updates\"/>
    </mc:Choice>
  </mc:AlternateContent>
  <xr:revisionPtr revIDLastSave="0" documentId="13_ncr:1_{D5A787DB-B7F6-48B2-B30F-FBFA6DBF761D}" xr6:coauthVersionLast="40" xr6:coauthVersionMax="40" xr10:uidLastSave="{00000000-0000-0000-0000-000000000000}"/>
  <workbookProtection workbookAlgorithmName="SHA-512" workbookHashValue="+VDF6CMLpZXSSWcaoM2emSP36wFNoG0xZ17jDaJYgyXTjCVIsVE88SjByLWkJadhSQq+T8r8yLWpZNrLQpY0HA==" workbookSaltValue="lZRTygZuFP5yzjQpqKpFhQ==" workbookSpinCount="100000" lockStructure="1"/>
  <bookViews>
    <workbookView xWindow="0" yWindow="0" windowWidth="20730" windowHeight="9435" xr2:uid="{00000000-000D-0000-FFFF-FFFF00000000}"/>
  </bookViews>
  <sheets>
    <sheet name="Home" sheetId="84" r:id="rId1"/>
    <sheet name="Acknowledgments" sheetId="88" r:id="rId2"/>
    <sheet name="Introduction" sheetId="20" r:id="rId3"/>
    <sheet name="Instructions" sheetId="22" r:id="rId4"/>
    <sheet name="Recommendations" sheetId="82" r:id="rId5"/>
    <sheet name="Project information" sheetId="11" r:id="rId6"/>
    <sheet name="Application Form" sheetId="87" r:id="rId7"/>
    <sheet name="Pre-assessment checklist" sheetId="78" r:id="rId8"/>
    <sheet name="Certification stage checklist " sheetId="79" r:id="rId9"/>
    <sheet name="Scorecard" sheetId="25" r:id="rId10"/>
    <sheet name="Graphical Results" sheetId="57" r:id="rId11"/>
    <sheet name="Energy" sheetId="45" r:id="rId12"/>
    <sheet name="E-1 Passive Design" sheetId="29" r:id="rId13"/>
    <sheet name="E-2 Building Envelope" sheetId="10" r:id="rId14"/>
    <sheet name="E-3 Building Cooling" sheetId="8" r:id="rId15"/>
    <sheet name="E-4 Artificial Lighting" sheetId="7" r:id="rId16"/>
    <sheet name="E-5 Water Heating" sheetId="34" state="hidden" r:id="rId17"/>
    <sheet name="E-5 Energy Efficient Appliances" sheetId="18" r:id="rId18"/>
    <sheet name="E-6 Energy Monitor" sheetId="37" r:id="rId19"/>
    <sheet name="Energy BPC" sheetId="58" r:id="rId20"/>
    <sheet name="Water" sheetId="41" r:id="rId21"/>
    <sheet name="W-1 Water Efficient Fixtures" sheetId="19" r:id="rId22"/>
    <sheet name="W-2 Water Efficient Landscaping" sheetId="40" r:id="rId23"/>
    <sheet name="W-3 Drinking Water " sheetId="53" r:id="rId24"/>
    <sheet name="Water BPC" sheetId="81" r:id="rId25"/>
    <sheet name="Materials" sheetId="46" r:id="rId26"/>
    <sheet name="M-1 Structure Materials" sheetId="60" r:id="rId27"/>
    <sheet name="M-2 Non-structural Walls" sheetId="61" r:id="rId28"/>
    <sheet name="M-3 Windows and Doors" sheetId="64" r:id="rId29"/>
    <sheet name="M-4 Flooring Materials" sheetId="65" r:id="rId30"/>
    <sheet name="M-5 Roofing Materials" sheetId="66" r:id="rId31"/>
    <sheet name="M-6 Furniture" sheetId="69" r:id="rId32"/>
    <sheet name="Health &amp; Comfort" sheetId="47" r:id="rId33"/>
    <sheet name="H-1 Fresh Air Supply" sheetId="30" r:id="rId34"/>
    <sheet name="H-2 Ventilation in wet areas" sheetId="24" r:id="rId35"/>
    <sheet name="H-3 CO2 Monitoring" sheetId="91" r:id="rId36"/>
    <sheet name="H-4 Low-VOC Emissions" sheetId="96" r:id="rId37"/>
    <sheet name="H-5 Daylighting" sheetId="28" r:id="rId38"/>
    <sheet name="H-6 External Views" sheetId="89" r:id="rId39"/>
    <sheet name="H&amp;C BPC" sheetId="67" r:id="rId40"/>
    <sheet name="Local Environment" sheetId="49" r:id="rId41"/>
    <sheet name="LE-1 Site Selection" sheetId="21" r:id="rId42"/>
    <sheet name="LE-2 Site design" sheetId="26" r:id="rId43"/>
    <sheet name="LE-3 Vegetation" sheetId="16" r:id="rId44"/>
    <sheet name="LE-4 Heat Island Effect" sheetId="9" r:id="rId45"/>
    <sheet name="LE-5 Storm Water Runoff" sheetId="17" r:id="rId46"/>
    <sheet name="LE-6 Flood Risk Mitigation" sheetId="32" r:id="rId47"/>
    <sheet name="LE-7 Refrigerants" sheetId="31" r:id="rId48"/>
    <sheet name="LE-8 Recycling Storage Area" sheetId="33" r:id="rId49"/>
    <sheet name="Community &amp; Management" sheetId="50" r:id="rId50"/>
    <sheet name="CM-1 Design Stage" sheetId="35" r:id="rId51"/>
    <sheet name="CM-2 Construction Management" sheetId="36" r:id="rId52"/>
    <sheet name="CM-3 Operational Management" sheetId="51" r:id="rId53"/>
    <sheet name="CM-4 Access for PWD" sheetId="90" r:id="rId54"/>
    <sheet name="CM BPC" sheetId="62" r:id="rId55"/>
    <sheet name="Innovation" sheetId="52" r:id="rId56"/>
    <sheet name="Inn-1 Exceptional Performance " sheetId="95" r:id="rId57"/>
    <sheet name="Inn-2 Innovative Techniques" sheetId="72" r:id="rId58"/>
    <sheet name="Additional information" sheetId="93" r:id="rId59"/>
    <sheet name="Glossary" sheetId="85" r:id="rId60"/>
    <sheet name="Resources" sheetId="39" r:id="rId61"/>
    <sheet name="Rainfall Data" sheetId="55" state="hidden" r:id="rId62"/>
    <sheet name="Feedback" sheetId="68" state="hidden" r:id="rId63"/>
  </sheets>
  <externalReferences>
    <externalReference r:id="rId64"/>
    <externalReference r:id="rId65"/>
    <externalReference r:id="rId66"/>
    <externalReference r:id="rId67"/>
    <externalReference r:id="rId68"/>
  </externalReferences>
  <definedNames>
    <definedName name="basic_services" localSheetId="58">'[1]LE-1 Site Selection'!$O$101:$O$128</definedName>
    <definedName name="basic_services" localSheetId="36">'[2]LE-1 Site Selection'!$O$101:$O$128</definedName>
    <definedName name="basic_services">'LE-1 Site Selection'!$O$101:$O$128</definedName>
    <definedName name="buildingtype" localSheetId="36">'[2]H-1 Fresh Air Supply'!$P$70:$P$82</definedName>
    <definedName name="buildingtype">'H-1 Fresh Air Supply'!$P$70:$P$82</definedName>
    <definedName name="Locations" localSheetId="58">#REF!</definedName>
    <definedName name="Locations" localSheetId="36">'[2]Rainfall Data'!$A$4:$A$68</definedName>
    <definedName name="Locations">'Rainfall Data'!$A$4:$A$68</definedName>
    <definedName name="_xlnm.Print_Area" localSheetId="6">'Application Form'!$A$1:$H$84</definedName>
    <definedName name="Process_type" localSheetId="36">'[3]W-1 Water Efficient Fixtures'!$M$207:$M$221</definedName>
    <definedName name="Process_type">'[4]W-PR-1 &amp; W-1 Efficient Fixtures'!$M$200:$M$214</definedName>
    <definedName name="slope" localSheetId="58">'[1]LE-4 Heat Island Effect'!$M$34:$M$36</definedName>
    <definedName name="slope" localSheetId="36">'[2]LE-4 Heat Island Effect'!$M$34:$M$36</definedName>
    <definedName name="slope">'LE-4 Heat Island Effect'!$M$34:$M$36</definedName>
    <definedName name="space_type_acoustic" localSheetId="36">'[3]H&amp;C BPC'!$P$247:$P$257</definedName>
    <definedName name="space_type_acoustic">'[4]H-11 Acoustic Comfort'!$O$68:$O$78</definedName>
    <definedName name="space_types" localSheetId="58">'[4]E-2 Artificial Lighting'!$L$28:$L$37</definedName>
    <definedName name="space_types" localSheetId="36">'[3]E-2 Artificial Lighting'!$M$82:$M$91</definedName>
    <definedName name="space_types">'E-4 Artificial Lighting'!$M$76:$M$85</definedName>
    <definedName name="Sustainable_furniture">'[3]M-2 Sustainable Furniture'!$N$44:$N$59</definedName>
    <definedName name="Sustainable_materials">'[3]M-1 Sustainable Materials'!$M$35:$M$52</definedName>
    <definedName name="toto" hidden="1">0</definedName>
    <definedName name="type_AC" localSheetId="58">'[4]E-1 Space cooling'!$O$80:$O$88</definedName>
    <definedName name="type_AC" localSheetId="36">'[3]E-1 Space cooling'!$O$167:$O$175</definedName>
    <definedName name="type_AC" localSheetId="0">'[5]E-1 Space cooling'!$O$54:$O$62</definedName>
    <definedName name="type_AC">'E-3 Building Cooling'!$O$158:$O$162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52" i="8" l="1"/>
  <c r="G53" i="8"/>
  <c r="G54" i="8"/>
  <c r="G55" i="8"/>
  <c r="G56" i="8"/>
  <c r="G57" i="8"/>
  <c r="G58" i="8"/>
  <c r="G59" i="8"/>
  <c r="G60" i="8"/>
  <c r="G61" i="8"/>
  <c r="G62" i="8"/>
  <c r="G63" i="8"/>
  <c r="G64" i="8"/>
  <c r="G65" i="8"/>
  <c r="O52" i="8"/>
  <c r="O53" i="8"/>
  <c r="O54" i="8"/>
  <c r="O55" i="8"/>
  <c r="O56" i="8"/>
  <c r="O57" i="8"/>
  <c r="O58" i="8"/>
  <c r="O59" i="8"/>
  <c r="O60" i="8"/>
  <c r="O61" i="8"/>
  <c r="O62" i="8"/>
  <c r="O63" i="8"/>
  <c r="O64" i="8"/>
  <c r="O65" i="8"/>
  <c r="G51" i="8"/>
  <c r="O51" i="8"/>
  <c r="D38" i="32" l="1"/>
  <c r="C48" i="32" s="1"/>
  <c r="D34" i="33"/>
  <c r="N29" i="33"/>
  <c r="B30" i="31"/>
  <c r="B26" i="51"/>
  <c r="B98" i="51"/>
  <c r="B96" i="51"/>
  <c r="B59" i="51"/>
  <c r="E130" i="36"/>
  <c r="B23" i="33"/>
  <c r="B27" i="33"/>
  <c r="B26" i="33"/>
  <c r="B25" i="33"/>
  <c r="B24" i="33"/>
  <c r="M203" i="96"/>
  <c r="M202" i="96"/>
  <c r="G195" i="96"/>
  <c r="G194" i="96"/>
  <c r="G193" i="96"/>
  <c r="G192" i="96"/>
  <c r="G191" i="96"/>
  <c r="G190" i="96"/>
  <c r="G189" i="96"/>
  <c r="E197" i="96" s="1"/>
  <c r="C207" i="96" s="1"/>
  <c r="G188" i="96"/>
  <c r="G187" i="96"/>
  <c r="G186" i="96"/>
  <c r="M167" i="96"/>
  <c r="M166" i="96"/>
  <c r="O159" i="96"/>
  <c r="N159" i="96"/>
  <c r="H159" i="96"/>
  <c r="O158" i="96"/>
  <c r="N158" i="96"/>
  <c r="H158" i="96"/>
  <c r="O157" i="96"/>
  <c r="N157" i="96"/>
  <c r="H157" i="96"/>
  <c r="O156" i="96"/>
  <c r="N156" i="96"/>
  <c r="H156" i="96"/>
  <c r="O155" i="96"/>
  <c r="N155" i="96"/>
  <c r="H155" i="96"/>
  <c r="O154" i="96"/>
  <c r="N154" i="96"/>
  <c r="H154" i="96"/>
  <c r="O153" i="96"/>
  <c r="N153" i="96"/>
  <c r="H153" i="96"/>
  <c r="O152" i="96"/>
  <c r="N152" i="96"/>
  <c r="H152" i="96"/>
  <c r="O151" i="96"/>
  <c r="N151" i="96"/>
  <c r="H151" i="96"/>
  <c r="E161" i="96" s="1"/>
  <c r="C171" i="96" s="1"/>
  <c r="O150" i="96"/>
  <c r="N150" i="96"/>
  <c r="H150" i="96"/>
  <c r="M125" i="96"/>
  <c r="M124" i="96"/>
  <c r="G117" i="96"/>
  <c r="G116" i="96"/>
  <c r="G115" i="96"/>
  <c r="G114" i="96"/>
  <c r="G113" i="96"/>
  <c r="G112" i="96"/>
  <c r="G111" i="96"/>
  <c r="G110" i="96"/>
  <c r="G109" i="96"/>
  <c r="D119" i="96" s="1"/>
  <c r="C129" i="96" s="1"/>
  <c r="G108" i="96"/>
  <c r="M89" i="96"/>
  <c r="M88" i="96"/>
  <c r="G81" i="96"/>
  <c r="G80" i="96"/>
  <c r="G79" i="96"/>
  <c r="G78" i="96"/>
  <c r="G77" i="96"/>
  <c r="G76" i="96"/>
  <c r="G75" i="96"/>
  <c r="G74" i="96"/>
  <c r="G73" i="96"/>
  <c r="G72" i="96"/>
  <c r="D83" i="96"/>
  <c r="C93" i="96" s="1"/>
  <c r="M54" i="96"/>
  <c r="M53" i="96"/>
  <c r="G46" i="96"/>
  <c r="G45" i="96"/>
  <c r="G44" i="96"/>
  <c r="G43" i="96"/>
  <c r="G42" i="96"/>
  <c r="G41" i="96"/>
  <c r="G40" i="96"/>
  <c r="G39" i="96"/>
  <c r="D48" i="96"/>
  <c r="C58" i="96" s="1"/>
  <c r="G38" i="96"/>
  <c r="G37" i="96"/>
  <c r="E34" i="53"/>
  <c r="C44" i="53" s="1"/>
  <c r="H7" i="41"/>
  <c r="C77" i="8"/>
  <c r="H14" i="8" s="1"/>
  <c r="H18" i="8" s="1"/>
  <c r="H7" i="45" s="1"/>
  <c r="F8" i="25" s="1"/>
  <c r="L27" i="95"/>
  <c r="L26" i="95"/>
  <c r="L25" i="95"/>
  <c r="C35" i="95" s="1"/>
  <c r="L24" i="95"/>
  <c r="E100" i="19"/>
  <c r="R213" i="8"/>
  <c r="R205" i="8"/>
  <c r="R206" i="8"/>
  <c r="R207" i="8"/>
  <c r="R208" i="8"/>
  <c r="R209" i="8"/>
  <c r="R210" i="8"/>
  <c r="R211" i="8"/>
  <c r="R212" i="8"/>
  <c r="R204" i="8"/>
  <c r="U42" i="39"/>
  <c r="U53" i="39"/>
  <c r="C168" i="10"/>
  <c r="C300" i="10"/>
  <c r="C299" i="10"/>
  <c r="C167" i="10"/>
  <c r="C127" i="10"/>
  <c r="C126" i="10"/>
  <c r="C93" i="10"/>
  <c r="G15" i="10" s="1"/>
  <c r="C94" i="10"/>
  <c r="C259" i="10"/>
  <c r="C258" i="10"/>
  <c r="C207" i="10"/>
  <c r="C206" i="10"/>
  <c r="C60" i="10"/>
  <c r="C59" i="10"/>
  <c r="I241" i="10"/>
  <c r="F241" i="10"/>
  <c r="I240" i="10"/>
  <c r="F240" i="10"/>
  <c r="I239" i="10"/>
  <c r="I242" i="10"/>
  <c r="D246" i="10"/>
  <c r="F242" i="10"/>
  <c r="F239" i="10"/>
  <c r="E114" i="29"/>
  <c r="E115" i="29"/>
  <c r="E99" i="29"/>
  <c r="E98" i="29"/>
  <c r="E121" i="29"/>
  <c r="E120" i="29"/>
  <c r="E119" i="29"/>
  <c r="E118" i="29"/>
  <c r="E117" i="29"/>
  <c r="D123" i="29" s="1"/>
  <c r="E116" i="29"/>
  <c r="K54" i="39"/>
  <c r="N54" i="39" s="1"/>
  <c r="K55" i="39"/>
  <c r="K56" i="39"/>
  <c r="N56" i="39" s="1"/>
  <c r="N57" i="39"/>
  <c r="N59" i="39"/>
  <c r="K53" i="39"/>
  <c r="N53" i="39" s="1"/>
  <c r="U54" i="39"/>
  <c r="J54" i="39"/>
  <c r="S54" i="39"/>
  <c r="V54" i="39" s="1"/>
  <c r="T54" i="39"/>
  <c r="W54" i="39" s="1"/>
  <c r="U55" i="39"/>
  <c r="J55" i="39"/>
  <c r="S55" i="39"/>
  <c r="V55" i="39" s="1"/>
  <c r="T55" i="39"/>
  <c r="W55" i="39" s="1"/>
  <c r="U56" i="39"/>
  <c r="J56" i="39"/>
  <c r="S56" i="39" s="1"/>
  <c r="V56" i="39"/>
  <c r="T56" i="39"/>
  <c r="W56" i="39" s="1"/>
  <c r="Z56" i="39"/>
  <c r="U57" i="39"/>
  <c r="X57" i="39"/>
  <c r="U58" i="39"/>
  <c r="S58" i="39"/>
  <c r="V58" i="39"/>
  <c r="U59" i="39"/>
  <c r="Z59" i="39"/>
  <c r="U60" i="39"/>
  <c r="S60" i="39"/>
  <c r="V60" i="39" s="1"/>
  <c r="X60" i="39"/>
  <c r="J53" i="39"/>
  <c r="T53" i="39" s="1"/>
  <c r="W53" i="39" s="1"/>
  <c r="Y53" i="39" s="1"/>
  <c r="K60" i="39"/>
  <c r="J60" i="39"/>
  <c r="T60" i="39" s="1"/>
  <c r="W60" i="39" s="1"/>
  <c r="K59" i="39"/>
  <c r="J59" i="39"/>
  <c r="L59" i="39"/>
  <c r="K58" i="39"/>
  <c r="N58" i="39" s="1"/>
  <c r="J58" i="39"/>
  <c r="T58" i="39" s="1"/>
  <c r="W58" i="39" s="1"/>
  <c r="L58" i="39"/>
  <c r="K57" i="39"/>
  <c r="Z57" i="39" s="1"/>
  <c r="J57" i="39"/>
  <c r="S57" i="39" s="1"/>
  <c r="V57" i="39" s="1"/>
  <c r="L56" i="39"/>
  <c r="L54" i="39"/>
  <c r="J43" i="39"/>
  <c r="S43" i="39"/>
  <c r="V43" i="39" s="1"/>
  <c r="T43" i="39"/>
  <c r="W43" i="39" s="1"/>
  <c r="J44" i="39"/>
  <c r="S44" i="39" s="1"/>
  <c r="V44" i="39" s="1"/>
  <c r="X44" i="39" s="1"/>
  <c r="T44" i="39"/>
  <c r="J45" i="39"/>
  <c r="S45" i="39"/>
  <c r="V45" i="39" s="1"/>
  <c r="X45" i="39" s="1"/>
  <c r="T45" i="39"/>
  <c r="W45" i="39" s="1"/>
  <c r="J46" i="39"/>
  <c r="S46" i="39" s="1"/>
  <c r="V46" i="39" s="1"/>
  <c r="T46" i="39"/>
  <c r="W46" i="39" s="1"/>
  <c r="Y46" i="39" s="1"/>
  <c r="J47" i="39"/>
  <c r="T47" i="39" s="1"/>
  <c r="W47" i="39" s="1"/>
  <c r="Y47" i="39" s="1"/>
  <c r="S47" i="39"/>
  <c r="V47" i="39" s="1"/>
  <c r="J48" i="39"/>
  <c r="J49" i="39"/>
  <c r="S49" i="39"/>
  <c r="V49" i="39" s="1"/>
  <c r="T49" i="39"/>
  <c r="U43" i="39"/>
  <c r="Y43" i="39"/>
  <c r="U44" i="39"/>
  <c r="W44" i="39"/>
  <c r="Y44" i="39" s="1"/>
  <c r="U45" i="39"/>
  <c r="Y45" i="39"/>
  <c r="U46" i="39"/>
  <c r="X46" i="39"/>
  <c r="U47" i="39"/>
  <c r="X47" i="39"/>
  <c r="U48" i="39"/>
  <c r="U49" i="39"/>
  <c r="Y49" i="39" s="1"/>
  <c r="W49" i="39"/>
  <c r="J42" i="39"/>
  <c r="T42" i="39"/>
  <c r="W42" i="39" s="1"/>
  <c r="Y42" i="39" s="1"/>
  <c r="S42" i="39"/>
  <c r="V42" i="39"/>
  <c r="K42" i="39"/>
  <c r="L42" i="39" s="1"/>
  <c r="Z42" i="39"/>
  <c r="K49" i="39"/>
  <c r="Z49" i="39"/>
  <c r="N49" i="39"/>
  <c r="L49" i="39"/>
  <c r="K48" i="39"/>
  <c r="Z48" i="39"/>
  <c r="L48" i="39"/>
  <c r="K47" i="39"/>
  <c r="Z47" i="39" s="1"/>
  <c r="N47" i="39"/>
  <c r="K46" i="39"/>
  <c r="Z46" i="39" s="1"/>
  <c r="N46" i="39"/>
  <c r="K45" i="39"/>
  <c r="Z45" i="39" s="1"/>
  <c r="N45" i="39"/>
  <c r="K44" i="39"/>
  <c r="Z44" i="39" s="1"/>
  <c r="N44" i="39"/>
  <c r="K43" i="39"/>
  <c r="Z43" i="39" s="1"/>
  <c r="N43" i="39"/>
  <c r="N42" i="39"/>
  <c r="E100" i="29"/>
  <c r="E101" i="29"/>
  <c r="E102" i="29"/>
  <c r="E103" i="29"/>
  <c r="E104" i="29"/>
  <c r="E105" i="29"/>
  <c r="D51" i="26"/>
  <c r="C123" i="8"/>
  <c r="C122" i="8"/>
  <c r="H16" i="8"/>
  <c r="G53" i="19"/>
  <c r="G52" i="19"/>
  <c r="G51" i="19"/>
  <c r="G50" i="19"/>
  <c r="I73" i="28"/>
  <c r="I74" i="28"/>
  <c r="I75" i="28"/>
  <c r="I76" i="28"/>
  <c r="I77" i="28"/>
  <c r="I78" i="28"/>
  <c r="I79" i="28"/>
  <c r="I80" i="28"/>
  <c r="I81" i="28"/>
  <c r="I82" i="28"/>
  <c r="I83" i="28"/>
  <c r="I84" i="28"/>
  <c r="I85" i="28"/>
  <c r="I86" i="28"/>
  <c r="I72" i="28"/>
  <c r="Q125" i="28"/>
  <c r="P125" i="28"/>
  <c r="Q124" i="28"/>
  <c r="P124" i="28"/>
  <c r="Q123" i="28"/>
  <c r="P123" i="28"/>
  <c r="Q122" i="28"/>
  <c r="P122" i="28"/>
  <c r="Q121" i="28"/>
  <c r="P121" i="28"/>
  <c r="G47" i="24"/>
  <c r="I47" i="24"/>
  <c r="G48" i="24"/>
  <c r="I48" i="24"/>
  <c r="G50" i="24"/>
  <c r="I50" i="24"/>
  <c r="G51" i="24"/>
  <c r="I51" i="24"/>
  <c r="G46" i="24"/>
  <c r="I46" i="24"/>
  <c r="G49" i="24"/>
  <c r="I49" i="24"/>
  <c r="C129" i="7"/>
  <c r="I16" i="8"/>
  <c r="H12" i="67"/>
  <c r="L156" i="7"/>
  <c r="L157" i="7"/>
  <c r="L158" i="7"/>
  <c r="L159" i="7"/>
  <c r="L160" i="7"/>
  <c r="L161" i="7"/>
  <c r="L162" i="7"/>
  <c r="L163" i="7"/>
  <c r="L164" i="7"/>
  <c r="L165" i="7"/>
  <c r="L166" i="7"/>
  <c r="L167" i="7"/>
  <c r="L168" i="7"/>
  <c r="L169" i="7"/>
  <c r="L155" i="7"/>
  <c r="M155" i="7" s="1"/>
  <c r="M156" i="7"/>
  <c r="M157" i="7"/>
  <c r="M158" i="7"/>
  <c r="M159" i="7"/>
  <c r="M160" i="7"/>
  <c r="M161" i="7"/>
  <c r="M162" i="7"/>
  <c r="M163" i="7"/>
  <c r="M164" i="7"/>
  <c r="M165" i="7"/>
  <c r="M166" i="7"/>
  <c r="M167" i="7"/>
  <c r="M168" i="7"/>
  <c r="M169" i="7"/>
  <c r="E65" i="61"/>
  <c r="E64" i="61" s="1"/>
  <c r="E66" i="61" s="1"/>
  <c r="C76" i="61" s="1"/>
  <c r="G14" i="7"/>
  <c r="G39" i="7"/>
  <c r="G40" i="7"/>
  <c r="G41" i="7"/>
  <c r="G42" i="7"/>
  <c r="G43" i="7"/>
  <c r="G53" i="7"/>
  <c r="C66" i="7"/>
  <c r="G13" i="7"/>
  <c r="G18" i="7"/>
  <c r="L18" i="7" s="1"/>
  <c r="D34" i="29"/>
  <c r="D36" i="29"/>
  <c r="C46" i="29" s="1"/>
  <c r="D64" i="29"/>
  <c r="C74" i="29" s="1"/>
  <c r="F43" i="67"/>
  <c r="J43" i="67" s="1"/>
  <c r="G12" i="67"/>
  <c r="D40" i="35"/>
  <c r="C50" i="35" s="1"/>
  <c r="G12" i="35" s="1"/>
  <c r="H6" i="50" s="1"/>
  <c r="L27" i="25" s="1"/>
  <c r="C139" i="36"/>
  <c r="G15" i="36"/>
  <c r="E34" i="51"/>
  <c r="C43" i="51"/>
  <c r="G12" i="51" s="1"/>
  <c r="C43" i="33"/>
  <c r="G12" i="33"/>
  <c r="H12" i="49" s="1"/>
  <c r="L13" i="25" s="1"/>
  <c r="D79" i="26"/>
  <c r="C89" i="26"/>
  <c r="G13" i="26" s="1"/>
  <c r="H6" i="41"/>
  <c r="F17" i="25" s="1"/>
  <c r="H193" i="10"/>
  <c r="G193" i="10"/>
  <c r="C193" i="10"/>
  <c r="G41" i="19"/>
  <c r="G47" i="19"/>
  <c r="G77" i="19" s="1"/>
  <c r="H77" i="19" s="1"/>
  <c r="G59" i="19"/>
  <c r="G78" i="19"/>
  <c r="H78" i="19" s="1"/>
  <c r="G62" i="19"/>
  <c r="G65" i="19"/>
  <c r="G79" i="19"/>
  <c r="H79" i="19" s="1"/>
  <c r="H14" i="19"/>
  <c r="F18" i="25"/>
  <c r="K40" i="30"/>
  <c r="D56" i="58"/>
  <c r="C66" i="58"/>
  <c r="G12" i="58" s="1"/>
  <c r="M12" i="58" s="1"/>
  <c r="D30" i="37"/>
  <c r="C40" i="37"/>
  <c r="H10" i="45" s="1"/>
  <c r="F11" i="25"/>
  <c r="H40" i="18"/>
  <c r="N43" i="10"/>
  <c r="G14" i="10"/>
  <c r="N77" i="10"/>
  <c r="G16" i="10"/>
  <c r="G17" i="10"/>
  <c r="G21" i="10"/>
  <c r="G22" i="10"/>
  <c r="G23" i="10"/>
  <c r="O23" i="10" s="1"/>
  <c r="H39" i="30"/>
  <c r="N99" i="30"/>
  <c r="N98" i="30"/>
  <c r="N104" i="30"/>
  <c r="N103" i="30"/>
  <c r="N102" i="30"/>
  <c r="H72" i="30"/>
  <c r="J72" i="30"/>
  <c r="O72" i="30" s="1"/>
  <c r="J73" i="30"/>
  <c r="O73" i="30" s="1"/>
  <c r="E71" i="30"/>
  <c r="G45" i="93"/>
  <c r="J82" i="30"/>
  <c r="O82" i="30" s="1"/>
  <c r="H73" i="30"/>
  <c r="K47" i="30"/>
  <c r="O47" i="30"/>
  <c r="K48" i="30"/>
  <c r="O48" i="30"/>
  <c r="K49" i="30"/>
  <c r="O49" i="30"/>
  <c r="K50" i="30"/>
  <c r="O50" i="30"/>
  <c r="K51" i="30"/>
  <c r="O51" i="30"/>
  <c r="K52" i="30"/>
  <c r="O52" i="30"/>
  <c r="K53" i="30"/>
  <c r="O53" i="30"/>
  <c r="O54" i="30"/>
  <c r="K55" i="30"/>
  <c r="O55" i="30" s="1"/>
  <c r="K56" i="30"/>
  <c r="O56" i="30" s="1"/>
  <c r="K57" i="30"/>
  <c r="O57" i="30" s="1"/>
  <c r="K58" i="30"/>
  <c r="O58" i="30" s="1"/>
  <c r="K59" i="30"/>
  <c r="O59" i="30" s="1"/>
  <c r="K60" i="30"/>
  <c r="O60" i="30" s="1"/>
  <c r="K61" i="30"/>
  <c r="O61" i="30" s="1"/>
  <c r="J74" i="30"/>
  <c r="O74" i="30" s="1"/>
  <c r="J75" i="30"/>
  <c r="O75" i="30" s="1"/>
  <c r="J76" i="30"/>
  <c r="O76" i="30" s="1"/>
  <c r="J77" i="30"/>
  <c r="O77" i="30" s="1"/>
  <c r="J78" i="30"/>
  <c r="O78" i="30" s="1"/>
  <c r="J79" i="30"/>
  <c r="O79" i="30" s="1"/>
  <c r="J80" i="30"/>
  <c r="O80" i="30" s="1"/>
  <c r="J81" i="30"/>
  <c r="O81" i="30" s="1"/>
  <c r="J83" i="30"/>
  <c r="O83" i="30" s="1"/>
  <c r="J84" i="30"/>
  <c r="O84" i="30" s="1"/>
  <c r="J85" i="30"/>
  <c r="O85" i="30" s="1"/>
  <c r="J86" i="30"/>
  <c r="O86" i="30" s="1"/>
  <c r="J87" i="30"/>
  <c r="O87" i="30" s="1"/>
  <c r="J88" i="30"/>
  <c r="O88" i="30" s="1"/>
  <c r="J89" i="30"/>
  <c r="O89" i="30" s="1"/>
  <c r="J90" i="30"/>
  <c r="O90" i="30" s="1"/>
  <c r="J91" i="30"/>
  <c r="O91" i="30" s="1"/>
  <c r="L237" i="7"/>
  <c r="L239" i="7"/>
  <c r="L238" i="7"/>
  <c r="L240" i="7"/>
  <c r="L241" i="7"/>
  <c r="L242" i="7"/>
  <c r="L243" i="7"/>
  <c r="L244" i="7"/>
  <c r="L245" i="7"/>
  <c r="L246" i="7"/>
  <c r="L253" i="7"/>
  <c r="L254" i="7"/>
  <c r="M246" i="7"/>
  <c r="M245" i="7"/>
  <c r="M244" i="7"/>
  <c r="M243" i="7"/>
  <c r="M242" i="7"/>
  <c r="M241" i="7"/>
  <c r="M240" i="7"/>
  <c r="M239" i="7"/>
  <c r="M238" i="7"/>
  <c r="M237" i="7"/>
  <c r="L181" i="7"/>
  <c r="L182" i="7"/>
  <c r="H14" i="7"/>
  <c r="C67" i="7"/>
  <c r="H13" i="7"/>
  <c r="C130" i="7"/>
  <c r="L13" i="7"/>
  <c r="H18" i="7"/>
  <c r="H169" i="7"/>
  <c r="H168" i="7"/>
  <c r="H167" i="7"/>
  <c r="H166" i="7"/>
  <c r="H165" i="7"/>
  <c r="H164" i="7"/>
  <c r="H163" i="7"/>
  <c r="H162" i="7"/>
  <c r="H161" i="7"/>
  <c r="H160" i="7"/>
  <c r="H159" i="7"/>
  <c r="H158" i="7"/>
  <c r="H157" i="7"/>
  <c r="H156" i="7"/>
  <c r="H155" i="7"/>
  <c r="G101" i="7"/>
  <c r="E117" i="7" s="1"/>
  <c r="G102" i="7"/>
  <c r="G103" i="7"/>
  <c r="G104" i="7"/>
  <c r="G105" i="7"/>
  <c r="G106" i="7"/>
  <c r="G107" i="7"/>
  <c r="G108" i="7"/>
  <c r="G109" i="7"/>
  <c r="G110" i="7"/>
  <c r="G111" i="7"/>
  <c r="G112" i="7"/>
  <c r="G113" i="7"/>
  <c r="G114" i="7"/>
  <c r="G115" i="7"/>
  <c r="B4" i="45"/>
  <c r="D234" i="67"/>
  <c r="D235" i="67" s="1"/>
  <c r="C245" i="67" s="1"/>
  <c r="C246" i="67" s="1"/>
  <c r="H13" i="67" s="1"/>
  <c r="H230" i="67"/>
  <c r="I230" i="67"/>
  <c r="H227" i="67"/>
  <c r="I227" i="67"/>
  <c r="H224" i="67"/>
  <c r="I224" i="67"/>
  <c r="H221" i="67"/>
  <c r="I221" i="67"/>
  <c r="H218" i="67"/>
  <c r="I218" i="67"/>
  <c r="H215" i="67"/>
  <c r="I215" i="67"/>
  <c r="H212" i="67"/>
  <c r="I212" i="67"/>
  <c r="H209" i="67"/>
  <c r="I209" i="67"/>
  <c r="H206" i="67"/>
  <c r="I206" i="67"/>
  <c r="H203" i="67"/>
  <c r="I203" i="67"/>
  <c r="H200" i="67"/>
  <c r="I200" i="67"/>
  <c r="H197" i="67"/>
  <c r="I197" i="67"/>
  <c r="H194" i="67"/>
  <c r="I194" i="67"/>
  <c r="H191" i="67"/>
  <c r="I191" i="67"/>
  <c r="H188" i="67"/>
  <c r="I188" i="67"/>
  <c r="C101" i="21"/>
  <c r="G14" i="21" s="1"/>
  <c r="C102" i="21"/>
  <c r="H14" i="21" s="1"/>
  <c r="N14" i="21" s="1"/>
  <c r="C231" i="8"/>
  <c r="C232" i="8"/>
  <c r="I27" i="8"/>
  <c r="H27" i="8"/>
  <c r="I21" i="8"/>
  <c r="H21" i="8"/>
  <c r="L15" i="40"/>
  <c r="Q48" i="40"/>
  <c r="Q49" i="40"/>
  <c r="L14" i="40"/>
  <c r="J15" i="40"/>
  <c r="J14" i="40"/>
  <c r="Q14" i="40" s="1"/>
  <c r="L19" i="40"/>
  <c r="J19" i="40"/>
  <c r="H85" i="30"/>
  <c r="R85" i="30"/>
  <c r="AB85" i="30" s="1"/>
  <c r="S85" i="30"/>
  <c r="T85" i="30"/>
  <c r="U85" i="30"/>
  <c r="V85" i="30"/>
  <c r="AF85" i="30" s="1"/>
  <c r="W85" i="30"/>
  <c r="X85" i="30"/>
  <c r="AH85" i="30" s="1"/>
  <c r="Y85" i="30"/>
  <c r="Z85" i="30"/>
  <c r="AJ85" i="30" s="1"/>
  <c r="AC85" i="30"/>
  <c r="AD85" i="30"/>
  <c r="AE85" i="30"/>
  <c r="AG85" i="30"/>
  <c r="AI85" i="30"/>
  <c r="H86" i="30"/>
  <c r="R86" i="30"/>
  <c r="AB86" i="30" s="1"/>
  <c r="S86" i="30"/>
  <c r="T86" i="30"/>
  <c r="AD86" i="30" s="1"/>
  <c r="U86" i="30"/>
  <c r="V86" i="30"/>
  <c r="AF86" i="30" s="1"/>
  <c r="W86" i="30"/>
  <c r="X86" i="30"/>
  <c r="AH86" i="30" s="1"/>
  <c r="Y86" i="30"/>
  <c r="Z86" i="30"/>
  <c r="AJ86" i="30" s="1"/>
  <c r="AC86" i="30"/>
  <c r="AE86" i="30"/>
  <c r="AG86" i="30"/>
  <c r="AI86" i="30"/>
  <c r="H87" i="30"/>
  <c r="R87" i="30"/>
  <c r="S87" i="30"/>
  <c r="AC87" i="30" s="1"/>
  <c r="T87" i="30"/>
  <c r="U87" i="30"/>
  <c r="AE87" i="30" s="1"/>
  <c r="V87" i="30"/>
  <c r="W87" i="30"/>
  <c r="AG87" i="30" s="1"/>
  <c r="X87" i="30"/>
  <c r="Y87" i="30"/>
  <c r="AI87" i="30" s="1"/>
  <c r="Z87" i="30"/>
  <c r="AB87" i="30"/>
  <c r="AD87" i="30"/>
  <c r="AF87" i="30"/>
  <c r="AH87" i="30"/>
  <c r="AJ87" i="30"/>
  <c r="H88" i="30"/>
  <c r="R88" i="30"/>
  <c r="AB88" i="30" s="1"/>
  <c r="S88" i="30"/>
  <c r="T88" i="30"/>
  <c r="AD88" i="30" s="1"/>
  <c r="U88" i="30"/>
  <c r="V88" i="30"/>
  <c r="AF88" i="30" s="1"/>
  <c r="W88" i="30"/>
  <c r="X88" i="30"/>
  <c r="AH88" i="30" s="1"/>
  <c r="Y88" i="30"/>
  <c r="Z88" i="30"/>
  <c r="AJ88" i="30" s="1"/>
  <c r="AC88" i="30"/>
  <c r="AE88" i="30"/>
  <c r="AG88" i="30"/>
  <c r="AI88" i="30"/>
  <c r="H89" i="30"/>
  <c r="R89" i="30"/>
  <c r="S89" i="30"/>
  <c r="AC89" i="30" s="1"/>
  <c r="T89" i="30"/>
  <c r="U89" i="30"/>
  <c r="AE89" i="30" s="1"/>
  <c r="V89" i="30"/>
  <c r="W89" i="30"/>
  <c r="AG89" i="30" s="1"/>
  <c r="X89" i="30"/>
  <c r="Y89" i="30"/>
  <c r="AI89" i="30" s="1"/>
  <c r="Z89" i="30"/>
  <c r="AB89" i="30"/>
  <c r="AD89" i="30"/>
  <c r="AF89" i="30"/>
  <c r="AH89" i="30"/>
  <c r="AJ89" i="30"/>
  <c r="H74" i="30"/>
  <c r="H75" i="30"/>
  <c r="H76" i="30"/>
  <c r="H77" i="30"/>
  <c r="H78" i="30"/>
  <c r="H79" i="30"/>
  <c r="H80" i="30"/>
  <c r="H81" i="30"/>
  <c r="H82" i="30"/>
  <c r="H83" i="30"/>
  <c r="H84" i="30"/>
  <c r="H90" i="30"/>
  <c r="H91" i="30"/>
  <c r="R73" i="30"/>
  <c r="S73" i="30"/>
  <c r="T73" i="30"/>
  <c r="AD73" i="30" s="1"/>
  <c r="U73" i="30"/>
  <c r="V73" i="30"/>
  <c r="W73" i="30"/>
  <c r="X73" i="30"/>
  <c r="AH73" i="30" s="1"/>
  <c r="Y73" i="30"/>
  <c r="Z73" i="30"/>
  <c r="R74" i="30"/>
  <c r="S74" i="30"/>
  <c r="AC74" i="30" s="1"/>
  <c r="T74" i="30"/>
  <c r="U74" i="30"/>
  <c r="V74" i="30"/>
  <c r="W74" i="30"/>
  <c r="AG74" i="30" s="1"/>
  <c r="X74" i="30"/>
  <c r="Y74" i="30"/>
  <c r="Z74" i="30"/>
  <c r="R75" i="30"/>
  <c r="AB75" i="30" s="1"/>
  <c r="S75" i="30"/>
  <c r="T75" i="30"/>
  <c r="U75" i="30"/>
  <c r="V75" i="30"/>
  <c r="AF75" i="30" s="1"/>
  <c r="W75" i="30"/>
  <c r="X75" i="30"/>
  <c r="Y75" i="30"/>
  <c r="Z75" i="30"/>
  <c r="AJ75" i="30" s="1"/>
  <c r="R76" i="30"/>
  <c r="S76" i="30"/>
  <c r="T76" i="30"/>
  <c r="U76" i="30"/>
  <c r="AE76" i="30" s="1"/>
  <c r="V76" i="30"/>
  <c r="W76" i="30"/>
  <c r="X76" i="30"/>
  <c r="Y76" i="30"/>
  <c r="AI76" i="30" s="1"/>
  <c r="Z76" i="30"/>
  <c r="R77" i="30"/>
  <c r="S77" i="30"/>
  <c r="T77" i="30"/>
  <c r="AD77" i="30" s="1"/>
  <c r="U77" i="30"/>
  <c r="V77" i="30"/>
  <c r="W77" i="30"/>
  <c r="X77" i="30"/>
  <c r="AH77" i="30" s="1"/>
  <c r="Y77" i="30"/>
  <c r="Z77" i="30"/>
  <c r="R78" i="30"/>
  <c r="S78" i="30"/>
  <c r="AC78" i="30" s="1"/>
  <c r="T78" i="30"/>
  <c r="U78" i="30"/>
  <c r="V78" i="30"/>
  <c r="W78" i="30"/>
  <c r="AG78" i="30" s="1"/>
  <c r="X78" i="30"/>
  <c r="Y78" i="30"/>
  <c r="Z78" i="30"/>
  <c r="R79" i="30"/>
  <c r="AB79" i="30" s="1"/>
  <c r="S79" i="30"/>
  <c r="T79" i="30"/>
  <c r="U79" i="30"/>
  <c r="V79" i="30"/>
  <c r="AF79" i="30" s="1"/>
  <c r="W79" i="30"/>
  <c r="X79" i="30"/>
  <c r="Y79" i="30"/>
  <c r="Z79" i="30"/>
  <c r="AJ79" i="30" s="1"/>
  <c r="R80" i="30"/>
  <c r="S80" i="30"/>
  <c r="T80" i="30"/>
  <c r="U80" i="30"/>
  <c r="AE80" i="30" s="1"/>
  <c r="V80" i="30"/>
  <c r="W80" i="30"/>
  <c r="X80" i="30"/>
  <c r="Y80" i="30"/>
  <c r="AI80" i="30" s="1"/>
  <c r="Z80" i="30"/>
  <c r="R81" i="30"/>
  <c r="S81" i="30"/>
  <c r="T81" i="30"/>
  <c r="AD81" i="30" s="1"/>
  <c r="U81" i="30"/>
  <c r="V81" i="30"/>
  <c r="W81" i="30"/>
  <c r="X81" i="30"/>
  <c r="AH81" i="30" s="1"/>
  <c r="Y81" i="30"/>
  <c r="Z81" i="30"/>
  <c r="R82" i="30"/>
  <c r="S82" i="30"/>
  <c r="AC82" i="30" s="1"/>
  <c r="T82" i="30"/>
  <c r="U82" i="30"/>
  <c r="V82" i="30"/>
  <c r="W82" i="30"/>
  <c r="AG82" i="30" s="1"/>
  <c r="X82" i="30"/>
  <c r="Y82" i="30"/>
  <c r="Z82" i="30"/>
  <c r="R83" i="30"/>
  <c r="AB83" i="30" s="1"/>
  <c r="S83" i="30"/>
  <c r="T83" i="30"/>
  <c r="U83" i="30"/>
  <c r="V83" i="30"/>
  <c r="AF83" i="30" s="1"/>
  <c r="W83" i="30"/>
  <c r="X83" i="30"/>
  <c r="Y83" i="30"/>
  <c r="Z83" i="30"/>
  <c r="AJ83" i="30" s="1"/>
  <c r="R84" i="30"/>
  <c r="S84" i="30"/>
  <c r="T84" i="30"/>
  <c r="U84" i="30"/>
  <c r="AE84" i="30" s="1"/>
  <c r="V84" i="30"/>
  <c r="W84" i="30"/>
  <c r="X84" i="30"/>
  <c r="Y84" i="30"/>
  <c r="AI84" i="30" s="1"/>
  <c r="Z84" i="30"/>
  <c r="R90" i="30"/>
  <c r="S90" i="30"/>
  <c r="T90" i="30"/>
  <c r="AD90" i="30" s="1"/>
  <c r="U90" i="30"/>
  <c r="V90" i="30"/>
  <c r="W90" i="30"/>
  <c r="X90" i="30"/>
  <c r="AH90" i="30" s="1"/>
  <c r="Y90" i="30"/>
  <c r="Z90" i="30"/>
  <c r="R91" i="30"/>
  <c r="S91" i="30"/>
  <c r="AC91" i="30" s="1"/>
  <c r="T91" i="30"/>
  <c r="U91" i="30"/>
  <c r="V91" i="30"/>
  <c r="W91" i="30"/>
  <c r="AG91" i="30" s="1"/>
  <c r="X91" i="30"/>
  <c r="Y91" i="30"/>
  <c r="Z91" i="30"/>
  <c r="Z72" i="30"/>
  <c r="AJ72" i="30" s="1"/>
  <c r="Y72" i="30"/>
  <c r="X72" i="30"/>
  <c r="W72" i="30"/>
  <c r="V72" i="30"/>
  <c r="AF72" i="30" s="1"/>
  <c r="U72" i="30"/>
  <c r="T72" i="30"/>
  <c r="S72" i="30"/>
  <c r="R72" i="30"/>
  <c r="AB72" i="30" s="1"/>
  <c r="AB73" i="30"/>
  <c r="AC73" i="30"/>
  <c r="AE73" i="30"/>
  <c r="AF73" i="30"/>
  <c r="AG73" i="30"/>
  <c r="AI73" i="30"/>
  <c r="AJ73" i="30"/>
  <c r="AB74" i="30"/>
  <c r="AD74" i="30"/>
  <c r="AE74" i="30"/>
  <c r="AF74" i="30"/>
  <c r="AH74" i="30"/>
  <c r="AI74" i="30"/>
  <c r="AJ74" i="30"/>
  <c r="AC75" i="30"/>
  <c r="AD75" i="30"/>
  <c r="AE75" i="30"/>
  <c r="AG75" i="30"/>
  <c r="AH75" i="30"/>
  <c r="AI75" i="30"/>
  <c r="AB76" i="30"/>
  <c r="AC76" i="30"/>
  <c r="AD76" i="30"/>
  <c r="AF76" i="30"/>
  <c r="AG76" i="30"/>
  <c r="AH76" i="30"/>
  <c r="AJ76" i="30"/>
  <c r="AB77" i="30"/>
  <c r="AC77" i="30"/>
  <c r="AE77" i="30"/>
  <c r="AF77" i="30"/>
  <c r="AG77" i="30"/>
  <c r="AI77" i="30"/>
  <c r="AJ77" i="30"/>
  <c r="AB78" i="30"/>
  <c r="AD78" i="30"/>
  <c r="AE78" i="30"/>
  <c r="AF78" i="30"/>
  <c r="AH78" i="30"/>
  <c r="AI78" i="30"/>
  <c r="AJ78" i="30"/>
  <c r="AC79" i="30"/>
  <c r="AD79" i="30"/>
  <c r="AE79" i="30"/>
  <c r="AG79" i="30"/>
  <c r="AH79" i="30"/>
  <c r="AI79" i="30"/>
  <c r="AB80" i="30"/>
  <c r="AC80" i="30"/>
  <c r="AD80" i="30"/>
  <c r="AF80" i="30"/>
  <c r="AG80" i="30"/>
  <c r="AH80" i="30"/>
  <c r="AJ80" i="30"/>
  <c r="AB81" i="30"/>
  <c r="AC81" i="30"/>
  <c r="AE81" i="30"/>
  <c r="AF81" i="30"/>
  <c r="AG81" i="30"/>
  <c r="AI81" i="30"/>
  <c r="AJ81" i="30"/>
  <c r="AB82" i="30"/>
  <c r="AD82" i="30"/>
  <c r="AE82" i="30"/>
  <c r="AF82" i="30"/>
  <c r="AH82" i="30"/>
  <c r="AI82" i="30"/>
  <c r="AJ82" i="30"/>
  <c r="AC83" i="30"/>
  <c r="AD83" i="30"/>
  <c r="AE83" i="30"/>
  <c r="AG83" i="30"/>
  <c r="AH83" i="30"/>
  <c r="AI83" i="30"/>
  <c r="AB84" i="30"/>
  <c r="AC84" i="30"/>
  <c r="AD84" i="30"/>
  <c r="AF84" i="30"/>
  <c r="AG84" i="30"/>
  <c r="AH84" i="30"/>
  <c r="AJ84" i="30"/>
  <c r="AB90" i="30"/>
  <c r="AC90" i="30"/>
  <c r="AE90" i="30"/>
  <c r="AF90" i="30"/>
  <c r="AG90" i="30"/>
  <c r="AI90" i="30"/>
  <c r="AJ90" i="30"/>
  <c r="AB91" i="30"/>
  <c r="AD91" i="30"/>
  <c r="AE91" i="30"/>
  <c r="AF91" i="30"/>
  <c r="AH91" i="30"/>
  <c r="AI91" i="30"/>
  <c r="AJ91" i="30"/>
  <c r="AC72" i="30"/>
  <c r="AD72" i="30"/>
  <c r="AE72" i="30"/>
  <c r="AG72" i="30"/>
  <c r="AH72" i="30"/>
  <c r="AI72" i="30"/>
  <c r="P55" i="67"/>
  <c r="P54" i="67"/>
  <c r="P53" i="67"/>
  <c r="P52" i="67"/>
  <c r="P51" i="67"/>
  <c r="P50" i="67"/>
  <c r="P49" i="67"/>
  <c r="P48" i="67"/>
  <c r="P47" i="67"/>
  <c r="P46" i="67"/>
  <c r="P45" i="67"/>
  <c r="P44" i="67"/>
  <c r="P43" i="67"/>
  <c r="I53" i="24"/>
  <c r="I52" i="24"/>
  <c r="I45" i="24"/>
  <c r="I44" i="24"/>
  <c r="P56" i="67"/>
  <c r="X29" i="30"/>
  <c r="X35" i="30"/>
  <c r="X31" i="30"/>
  <c r="X30" i="30"/>
  <c r="X42" i="30"/>
  <c r="X41" i="30"/>
  <c r="X47" i="30"/>
  <c r="X46" i="30"/>
  <c r="X45" i="30"/>
  <c r="X52" i="30"/>
  <c r="X61" i="30"/>
  <c r="X60" i="30"/>
  <c r="X59" i="30"/>
  <c r="X58" i="30"/>
  <c r="X57" i="30"/>
  <c r="X56" i="30"/>
  <c r="X55" i="30"/>
  <c r="X54" i="30"/>
  <c r="X53" i="30"/>
  <c r="X51" i="30"/>
  <c r="X50" i="30"/>
  <c r="X49" i="30"/>
  <c r="X48" i="30"/>
  <c r="X44" i="30"/>
  <c r="X43" i="30"/>
  <c r="X40" i="30"/>
  <c r="X39" i="30"/>
  <c r="X38" i="30"/>
  <c r="X37" i="30"/>
  <c r="X36" i="30"/>
  <c r="X34" i="30"/>
  <c r="X33" i="30"/>
  <c r="X32" i="30"/>
  <c r="X28" i="30"/>
  <c r="X27" i="30"/>
  <c r="X26" i="30"/>
  <c r="X25" i="30"/>
  <c r="X24" i="30"/>
  <c r="X23" i="30"/>
  <c r="X22" i="30"/>
  <c r="X21" i="30"/>
  <c r="X20" i="30"/>
  <c r="X19" i="30"/>
  <c r="X18" i="30"/>
  <c r="X17" i="30"/>
  <c r="X16" i="30"/>
  <c r="X15" i="30"/>
  <c r="X14" i="30"/>
  <c r="X7" i="30"/>
  <c r="X8" i="30"/>
  <c r="X9" i="30"/>
  <c r="X10" i="30"/>
  <c r="X11" i="30"/>
  <c r="X12" i="30"/>
  <c r="X13" i="30"/>
  <c r="X6" i="30"/>
  <c r="D131" i="67"/>
  <c r="D132" i="67"/>
  <c r="D133" i="67"/>
  <c r="D134" i="67"/>
  <c r="D135" i="67"/>
  <c r="D136" i="67"/>
  <c r="D137" i="67"/>
  <c r="D138" i="67"/>
  <c r="D139" i="67"/>
  <c r="D140" i="67"/>
  <c r="D141" i="67"/>
  <c r="D142" i="67"/>
  <c r="D143" i="67"/>
  <c r="D144" i="67"/>
  <c r="D145" i="67"/>
  <c r="D146" i="67"/>
  <c r="D147" i="67"/>
  <c r="D148" i="67"/>
  <c r="D149" i="67"/>
  <c r="D150" i="67"/>
  <c r="D152" i="67"/>
  <c r="C162" i="67"/>
  <c r="C163" i="67"/>
  <c r="C115" i="67"/>
  <c r="C123" i="62"/>
  <c r="H14" i="62" s="1"/>
  <c r="E32" i="62"/>
  <c r="Q23" i="33"/>
  <c r="C116" i="67"/>
  <c r="N88" i="67"/>
  <c r="N89" i="67"/>
  <c r="N90" i="67"/>
  <c r="N91" i="67"/>
  <c r="N92" i="67"/>
  <c r="N84" i="67"/>
  <c r="N85" i="67"/>
  <c r="N86" i="67"/>
  <c r="N87" i="67"/>
  <c r="N93" i="67"/>
  <c r="N94" i="67"/>
  <c r="N95" i="67"/>
  <c r="N96" i="67"/>
  <c r="N97" i="67"/>
  <c r="N98" i="67"/>
  <c r="N99" i="67"/>
  <c r="N100" i="67"/>
  <c r="N101" i="67"/>
  <c r="N102" i="67"/>
  <c r="N103" i="67"/>
  <c r="N104" i="67"/>
  <c r="F44" i="67"/>
  <c r="J44" i="67"/>
  <c r="F45" i="67"/>
  <c r="J45" i="67"/>
  <c r="F46" i="67"/>
  <c r="J46" i="67"/>
  <c r="F47" i="67"/>
  <c r="J47" i="67"/>
  <c r="F48" i="67"/>
  <c r="J48" i="67"/>
  <c r="F49" i="67"/>
  <c r="J49" i="67"/>
  <c r="F50" i="67"/>
  <c r="J50" i="67"/>
  <c r="F51" i="67"/>
  <c r="J51" i="67"/>
  <c r="F52" i="67"/>
  <c r="J52" i="67"/>
  <c r="F53" i="67"/>
  <c r="J53" i="67"/>
  <c r="F54" i="67"/>
  <c r="J54" i="67"/>
  <c r="F55" i="67"/>
  <c r="J55" i="67"/>
  <c r="F56" i="67"/>
  <c r="J56" i="67"/>
  <c r="M12" i="67"/>
  <c r="G13" i="67"/>
  <c r="M13" i="67" s="1"/>
  <c r="Q47" i="67"/>
  <c r="R47" i="67"/>
  <c r="S47" i="67"/>
  <c r="T47" i="67"/>
  <c r="Q48" i="67"/>
  <c r="R48" i="67"/>
  <c r="S48" i="67"/>
  <c r="T48" i="67"/>
  <c r="Q49" i="67"/>
  <c r="R49" i="67"/>
  <c r="S49" i="67"/>
  <c r="T49" i="67"/>
  <c r="Q50" i="67"/>
  <c r="R50" i="67"/>
  <c r="S50" i="67"/>
  <c r="T50" i="67"/>
  <c r="G40" i="18"/>
  <c r="H14" i="10"/>
  <c r="H15" i="10"/>
  <c r="H16" i="10"/>
  <c r="H17" i="10"/>
  <c r="O14" i="10"/>
  <c r="O15" i="10"/>
  <c r="O16" i="10"/>
  <c r="O17" i="10"/>
  <c r="H23" i="10"/>
  <c r="H21" i="10"/>
  <c r="E72" i="51"/>
  <c r="C81" i="51"/>
  <c r="C41" i="62"/>
  <c r="G11" i="62" s="1"/>
  <c r="H9" i="50"/>
  <c r="L30" i="25" s="1"/>
  <c r="E104" i="51"/>
  <c r="C113" i="51" s="1"/>
  <c r="G14" i="51" s="1"/>
  <c r="M14" i="51" s="1"/>
  <c r="C44" i="51"/>
  <c r="H12" i="51" s="1"/>
  <c r="M12" i="51"/>
  <c r="C140" i="36"/>
  <c r="H15" i="36" s="1"/>
  <c r="M15" i="36"/>
  <c r="E106" i="36"/>
  <c r="C115" i="36"/>
  <c r="G14" i="36" s="1"/>
  <c r="M14" i="36" s="1"/>
  <c r="E108" i="18"/>
  <c r="C118" i="18" s="1"/>
  <c r="H41" i="18"/>
  <c r="H42" i="18"/>
  <c r="H43" i="18"/>
  <c r="H44" i="18"/>
  <c r="H45" i="18"/>
  <c r="H46" i="18"/>
  <c r="H47" i="18"/>
  <c r="H48" i="18"/>
  <c r="H49" i="18"/>
  <c r="H50" i="18"/>
  <c r="H51" i="18"/>
  <c r="H52" i="18"/>
  <c r="H53" i="18"/>
  <c r="H54" i="18"/>
  <c r="H55" i="18"/>
  <c r="H56" i="18"/>
  <c r="H57" i="18"/>
  <c r="H58" i="18"/>
  <c r="H59" i="18"/>
  <c r="G56" i="19"/>
  <c r="G57" i="19"/>
  <c r="G58" i="19"/>
  <c r="G63" i="19"/>
  <c r="G64" i="19"/>
  <c r="G43" i="19"/>
  <c r="G45" i="19"/>
  <c r="D113" i="62"/>
  <c r="C122" i="62" s="1"/>
  <c r="G14" i="62" s="1"/>
  <c r="M14" i="62" s="1"/>
  <c r="E54" i="62"/>
  <c r="E32" i="90"/>
  <c r="H17" i="31"/>
  <c r="D33" i="31"/>
  <c r="C43" i="31"/>
  <c r="H14" i="31"/>
  <c r="H11" i="49"/>
  <c r="L12" i="25" s="1"/>
  <c r="I17" i="31"/>
  <c r="D74" i="31"/>
  <c r="D80" i="31" s="1"/>
  <c r="D81" i="31"/>
  <c r="E74" i="31"/>
  <c r="E80" i="31" s="1"/>
  <c r="E82" i="31" s="1"/>
  <c r="E81" i="31"/>
  <c r="F74" i="31"/>
  <c r="F80" i="31" s="1"/>
  <c r="F81" i="31"/>
  <c r="G74" i="31"/>
  <c r="G80" i="31" s="1"/>
  <c r="G82" i="31" s="1"/>
  <c r="G81" i="31"/>
  <c r="H74" i="31"/>
  <c r="H80" i="31" s="1"/>
  <c r="H81" i="31"/>
  <c r="I74" i="31"/>
  <c r="I80" i="31" s="1"/>
  <c r="I82" i="31" s="1"/>
  <c r="I81" i="31"/>
  <c r="J74" i="31"/>
  <c r="J80" i="31" s="1"/>
  <c r="J81" i="31"/>
  <c r="K74" i="31"/>
  <c r="K80" i="31" s="1"/>
  <c r="K82" i="31" s="1"/>
  <c r="K81" i="31"/>
  <c r="Q44" i="67"/>
  <c r="R44" i="67"/>
  <c r="S44" i="67"/>
  <c r="T44" i="67"/>
  <c r="Q45" i="67"/>
  <c r="R45" i="67"/>
  <c r="S45" i="67"/>
  <c r="T45" i="67"/>
  <c r="Q46" i="67"/>
  <c r="R46" i="67"/>
  <c r="S46" i="67"/>
  <c r="T46" i="67"/>
  <c r="Q51" i="67"/>
  <c r="R51" i="67"/>
  <c r="S51" i="67"/>
  <c r="T51" i="67"/>
  <c r="Q52" i="67"/>
  <c r="R52" i="67"/>
  <c r="S52" i="67"/>
  <c r="T52" i="67"/>
  <c r="Q53" i="67"/>
  <c r="R53" i="67"/>
  <c r="S53" i="67"/>
  <c r="T53" i="67"/>
  <c r="Q54" i="67"/>
  <c r="R54" i="67"/>
  <c r="S54" i="67"/>
  <c r="T54" i="67"/>
  <c r="Q55" i="67"/>
  <c r="R55" i="67"/>
  <c r="S55" i="67"/>
  <c r="T55" i="67"/>
  <c r="Q56" i="67"/>
  <c r="R56" i="67"/>
  <c r="S56" i="67"/>
  <c r="T56" i="67"/>
  <c r="T43" i="67"/>
  <c r="S43" i="67"/>
  <c r="R43" i="67"/>
  <c r="Q43" i="67"/>
  <c r="N30" i="91"/>
  <c r="N31" i="91"/>
  <c r="N32" i="91"/>
  <c r="N33" i="91"/>
  <c r="N34" i="91"/>
  <c r="N35" i="91"/>
  <c r="N36" i="91"/>
  <c r="N37" i="91"/>
  <c r="N38" i="91"/>
  <c r="N39" i="91"/>
  <c r="N40" i="91"/>
  <c r="N41" i="91"/>
  <c r="N42" i="91"/>
  <c r="N43" i="91"/>
  <c r="N44" i="91"/>
  <c r="C62" i="62"/>
  <c r="G12" i="62" s="1"/>
  <c r="M12" i="62" s="1"/>
  <c r="E85" i="62"/>
  <c r="C94" i="62" s="1"/>
  <c r="K14" i="28"/>
  <c r="H10" i="47" s="1"/>
  <c r="L21" i="25" s="1"/>
  <c r="K17" i="28"/>
  <c r="M95" i="7"/>
  <c r="N95" i="7"/>
  <c r="O95" i="7"/>
  <c r="P95" i="7"/>
  <c r="L95" i="7"/>
  <c r="N78" i="7"/>
  <c r="N79" i="7"/>
  <c r="N80" i="7"/>
  <c r="N81" i="7"/>
  <c r="N82" i="7"/>
  <c r="N83" i="7"/>
  <c r="N84" i="7"/>
  <c r="N85" i="7"/>
  <c r="N77" i="7"/>
  <c r="M78" i="7"/>
  <c r="M79" i="7"/>
  <c r="M80" i="7"/>
  <c r="M81" i="7"/>
  <c r="M82" i="7"/>
  <c r="M83" i="7"/>
  <c r="M84" i="7"/>
  <c r="M77" i="7"/>
  <c r="C41" i="90"/>
  <c r="C42" i="90"/>
  <c r="H12" i="90" s="1"/>
  <c r="G12" i="90"/>
  <c r="K33" i="25"/>
  <c r="C44" i="31"/>
  <c r="I14" i="31"/>
  <c r="E39" i="89"/>
  <c r="E40" i="89"/>
  <c r="E41" i="89"/>
  <c r="E42" i="89"/>
  <c r="E43" i="89"/>
  <c r="E44" i="89"/>
  <c r="E45" i="89"/>
  <c r="E46" i="89"/>
  <c r="E47" i="89"/>
  <c r="E48" i="89"/>
  <c r="E49" i="89"/>
  <c r="E50" i="89"/>
  <c r="E51" i="89"/>
  <c r="E52" i="89"/>
  <c r="E53" i="89"/>
  <c r="E54" i="89"/>
  <c r="E55" i="89"/>
  <c r="E56" i="89"/>
  <c r="E57" i="89"/>
  <c r="E58" i="89"/>
  <c r="E132" i="58"/>
  <c r="C145" i="58" s="1"/>
  <c r="G14" i="58"/>
  <c r="M14" i="58" s="1"/>
  <c r="E115" i="58"/>
  <c r="F129" i="58"/>
  <c r="G129" i="58"/>
  <c r="F130" i="58"/>
  <c r="G130" i="58"/>
  <c r="L16" i="40"/>
  <c r="D29" i="34"/>
  <c r="J16" i="40"/>
  <c r="Q15" i="40"/>
  <c r="C169" i="8"/>
  <c r="D31" i="58"/>
  <c r="C40" i="58"/>
  <c r="D88" i="58"/>
  <c r="C97" i="58"/>
  <c r="E37" i="81"/>
  <c r="C47" i="81" s="1"/>
  <c r="H11" i="81" s="1"/>
  <c r="E64" i="81"/>
  <c r="E63" i="81"/>
  <c r="C74" i="81" s="1"/>
  <c r="G12" i="53"/>
  <c r="H8" i="41" s="1"/>
  <c r="F19" i="25" s="1"/>
  <c r="K24" i="25"/>
  <c r="V9" i="57"/>
  <c r="K14" i="25"/>
  <c r="V10" i="57"/>
  <c r="V11" i="57"/>
  <c r="E38" i="25"/>
  <c r="V12" i="57" s="1"/>
  <c r="E33" i="25"/>
  <c r="V8" i="57" s="1"/>
  <c r="E21" i="25"/>
  <c r="V7" i="57" s="1"/>
  <c r="E13" i="25"/>
  <c r="V6" i="57" s="1"/>
  <c r="E76" i="26"/>
  <c r="E75" i="26"/>
  <c r="N120" i="21"/>
  <c r="F120" i="21"/>
  <c r="N119" i="21"/>
  <c r="F119" i="21"/>
  <c r="N118" i="21"/>
  <c r="F118" i="21"/>
  <c r="F117" i="21"/>
  <c r="N117" i="21"/>
  <c r="G152" i="8"/>
  <c r="E154" i="8" s="1"/>
  <c r="U118" i="28"/>
  <c r="V118" i="28" s="1"/>
  <c r="U119" i="28"/>
  <c r="U120" i="28"/>
  <c r="V120" i="28" s="1"/>
  <c r="U126" i="28"/>
  <c r="U127" i="28"/>
  <c r="V127" i="28" s="1"/>
  <c r="U128" i="28"/>
  <c r="U129" i="28"/>
  <c r="V129" i="28" s="1"/>
  <c r="U130" i="28"/>
  <c r="U131" i="28"/>
  <c r="V131" i="28" s="1"/>
  <c r="P131" i="28"/>
  <c r="Q131" i="28"/>
  <c r="V130" i="28"/>
  <c r="P130" i="28"/>
  <c r="Q130" i="28"/>
  <c r="P129" i="28"/>
  <c r="Q129" i="28"/>
  <c r="V128" i="28"/>
  <c r="P128" i="28"/>
  <c r="Q128" i="28"/>
  <c r="P127" i="28"/>
  <c r="Q127" i="28"/>
  <c r="V126" i="28"/>
  <c r="P126" i="28"/>
  <c r="Q126" i="28"/>
  <c r="P120" i="28"/>
  <c r="Q120" i="28"/>
  <c r="V119" i="28"/>
  <c r="P119" i="28"/>
  <c r="Q119" i="28"/>
  <c r="P118" i="28"/>
  <c r="Q118" i="28"/>
  <c r="E82" i="16"/>
  <c r="E90" i="16"/>
  <c r="N91" i="16"/>
  <c r="O91" i="16"/>
  <c r="E91" i="16" s="1"/>
  <c r="N77" i="16"/>
  <c r="O77" i="16" s="1"/>
  <c r="E77" i="16" s="1"/>
  <c r="N90" i="16"/>
  <c r="N81" i="16"/>
  <c r="O81" i="16" s="1"/>
  <c r="E81" i="16" s="1"/>
  <c r="N82" i="16"/>
  <c r="O82" i="16"/>
  <c r="N83" i="16"/>
  <c r="O83" i="16"/>
  <c r="E83" i="16" s="1"/>
  <c r="N84" i="16"/>
  <c r="O84" i="16" s="1"/>
  <c r="E84" i="16" s="1"/>
  <c r="N85" i="16"/>
  <c r="N86" i="16"/>
  <c r="O86" i="16"/>
  <c r="E86" i="16" s="1"/>
  <c r="N87" i="16"/>
  <c r="O87" i="16"/>
  <c r="E87" i="16" s="1"/>
  <c r="N88" i="16"/>
  <c r="O88" i="16" s="1"/>
  <c r="E88" i="16" s="1"/>
  <c r="N89" i="16"/>
  <c r="O89" i="16" s="1"/>
  <c r="E89" i="16" s="1"/>
  <c r="O90" i="16"/>
  <c r="O85" i="16"/>
  <c r="E85" i="16" s="1"/>
  <c r="F130" i="40"/>
  <c r="F134" i="40" s="1"/>
  <c r="G47" i="18"/>
  <c r="E156" i="36"/>
  <c r="E38" i="36"/>
  <c r="E80" i="40"/>
  <c r="C89" i="40" s="1"/>
  <c r="C90" i="40" s="1"/>
  <c r="D61" i="60"/>
  <c r="D60" i="60" s="1"/>
  <c r="D62" i="60" s="1"/>
  <c r="C72" i="60" s="1"/>
  <c r="J103" i="8"/>
  <c r="J104" i="8"/>
  <c r="J105" i="8"/>
  <c r="N78" i="16"/>
  <c r="O78" i="16"/>
  <c r="E78" i="16" s="1"/>
  <c r="N79" i="16"/>
  <c r="O79" i="16" s="1"/>
  <c r="E79" i="16" s="1"/>
  <c r="E92" i="16" s="1"/>
  <c r="N80" i="16"/>
  <c r="O80" i="16"/>
  <c r="E80" i="16" s="1"/>
  <c r="G54" i="18"/>
  <c r="G51" i="18"/>
  <c r="G48" i="18"/>
  <c r="N79" i="10"/>
  <c r="N45" i="10"/>
  <c r="C61" i="26"/>
  <c r="E195" i="10"/>
  <c r="E196" i="10" s="1"/>
  <c r="D193" i="10"/>
  <c r="C63" i="62"/>
  <c r="H12" i="62"/>
  <c r="C42" i="62"/>
  <c r="H11" i="62"/>
  <c r="P42" i="9"/>
  <c r="F42" i="9"/>
  <c r="E58" i="9"/>
  <c r="E57" i="9"/>
  <c r="E63" i="9" s="1"/>
  <c r="P43" i="9"/>
  <c r="F43" i="9"/>
  <c r="E45" i="17"/>
  <c r="E44" i="17"/>
  <c r="E43" i="17"/>
  <c r="E42" i="17"/>
  <c r="E46" i="17"/>
  <c r="F41" i="9"/>
  <c r="P44" i="9"/>
  <c r="P45" i="9"/>
  <c r="P46" i="9"/>
  <c r="P47" i="9"/>
  <c r="P41" i="9"/>
  <c r="Q50" i="40"/>
  <c r="Q51" i="40"/>
  <c r="Q52" i="40"/>
  <c r="Q53" i="40"/>
  <c r="Q54" i="40"/>
  <c r="E89" i="28"/>
  <c r="C98" i="28" s="1"/>
  <c r="C99" i="28" s="1"/>
  <c r="U117" i="28"/>
  <c r="M17" i="28"/>
  <c r="I38" i="24"/>
  <c r="G38" i="24"/>
  <c r="K38" i="24"/>
  <c r="G45" i="24"/>
  <c r="C47" i="36"/>
  <c r="N78" i="10"/>
  <c r="N80" i="10"/>
  <c r="N81" i="10"/>
  <c r="N44" i="10"/>
  <c r="N46" i="10"/>
  <c r="N47" i="10"/>
  <c r="E75" i="36"/>
  <c r="C83" i="36" s="1"/>
  <c r="C166" i="36"/>
  <c r="C167" i="36" s="1"/>
  <c r="H16" i="36"/>
  <c r="D70" i="21"/>
  <c r="C79" i="21"/>
  <c r="C80" i="21" s="1"/>
  <c r="H13" i="21" s="1"/>
  <c r="D46" i="21"/>
  <c r="C55" i="21"/>
  <c r="C56" i="21" s="1"/>
  <c r="H12" i="21" s="1"/>
  <c r="F44" i="9"/>
  <c r="F45" i="9"/>
  <c r="F46" i="9"/>
  <c r="F47" i="9"/>
  <c r="E59" i="9"/>
  <c r="E60" i="9"/>
  <c r="E61" i="9"/>
  <c r="E62" i="9"/>
  <c r="E56" i="9"/>
  <c r="N32" i="53"/>
  <c r="N29" i="53"/>
  <c r="N30" i="53"/>
  <c r="N31" i="53"/>
  <c r="N111" i="10"/>
  <c r="N112" i="10"/>
  <c r="N113" i="10"/>
  <c r="N114" i="10"/>
  <c r="E150" i="10"/>
  <c r="E151" i="10"/>
  <c r="E152" i="10"/>
  <c r="E153" i="10"/>
  <c r="E154" i="10"/>
  <c r="C155" i="10"/>
  <c r="K150" i="10"/>
  <c r="K151" i="10"/>
  <c r="K152" i="10"/>
  <c r="K153" i="10"/>
  <c r="K154" i="10"/>
  <c r="H155" i="10"/>
  <c r="O150" i="10"/>
  <c r="O151" i="10"/>
  <c r="O152" i="10"/>
  <c r="O153" i="10"/>
  <c r="O154" i="10"/>
  <c r="D44" i="16"/>
  <c r="D46" i="16" s="1"/>
  <c r="C56" i="16" s="1"/>
  <c r="G12" i="16" s="1"/>
  <c r="C124" i="40"/>
  <c r="C145" i="40"/>
  <c r="C146" i="40" s="1"/>
  <c r="C113" i="40"/>
  <c r="V119" i="40" s="1"/>
  <c r="C114" i="40"/>
  <c r="D113" i="40"/>
  <c r="D114" i="40"/>
  <c r="W122" i="40" s="1"/>
  <c r="E113" i="40"/>
  <c r="E114" i="40"/>
  <c r="X119" i="40" s="1"/>
  <c r="F113" i="40"/>
  <c r="Y119" i="40" s="1"/>
  <c r="F114" i="40"/>
  <c r="G113" i="40"/>
  <c r="G114" i="40"/>
  <c r="Z118" i="40" s="1"/>
  <c r="H113" i="40"/>
  <c r="H114" i="40"/>
  <c r="I113" i="40"/>
  <c r="AB118" i="40" s="1"/>
  <c r="I114" i="40"/>
  <c r="J113" i="40"/>
  <c r="J114" i="40"/>
  <c r="AC120" i="40" s="1"/>
  <c r="K113" i="40"/>
  <c r="K114" i="40"/>
  <c r="AD118" i="40"/>
  <c r="L113" i="40"/>
  <c r="AE122" i="40" s="1"/>
  <c r="L114" i="40"/>
  <c r="M113" i="40"/>
  <c r="M114" i="40"/>
  <c r="AF119" i="40" s="1"/>
  <c r="N113" i="40"/>
  <c r="N114" i="40"/>
  <c r="AE120" i="40"/>
  <c r="F214" i="8"/>
  <c r="E217" i="8" s="1"/>
  <c r="F152" i="8"/>
  <c r="E155" i="8" s="1"/>
  <c r="M39" i="64"/>
  <c r="M40" i="64"/>
  <c r="M41" i="64"/>
  <c r="M42" i="64"/>
  <c r="M43" i="64"/>
  <c r="M44" i="64"/>
  <c r="E50" i="64" s="1"/>
  <c r="E52" i="64" s="1"/>
  <c r="C62" i="64" s="1"/>
  <c r="M45" i="64"/>
  <c r="M46" i="64"/>
  <c r="M47" i="64"/>
  <c r="M48" i="64"/>
  <c r="E51" i="64"/>
  <c r="K213" i="8"/>
  <c r="K212" i="8"/>
  <c r="K211" i="8"/>
  <c r="K210" i="8"/>
  <c r="K209" i="8"/>
  <c r="S208" i="8"/>
  <c r="J208" i="8"/>
  <c r="S207" i="8"/>
  <c r="J207" i="8"/>
  <c r="K207" i="8"/>
  <c r="S206" i="8"/>
  <c r="J206" i="8" s="1"/>
  <c r="K205" i="8"/>
  <c r="J106" i="8"/>
  <c r="J107" i="8"/>
  <c r="J108" i="8"/>
  <c r="J109" i="8"/>
  <c r="J110" i="8"/>
  <c r="J101" i="8"/>
  <c r="J102" i="8"/>
  <c r="O286" i="10"/>
  <c r="O285" i="10"/>
  <c r="O284" i="10"/>
  <c r="O283" i="10"/>
  <c r="O282" i="10"/>
  <c r="B61" i="60"/>
  <c r="C43" i="60"/>
  <c r="B60" i="60"/>
  <c r="S214" i="8"/>
  <c r="I205" i="8"/>
  <c r="I206" i="8"/>
  <c r="I207" i="8"/>
  <c r="I208" i="8"/>
  <c r="I209" i="8"/>
  <c r="I210" i="8"/>
  <c r="I211" i="8"/>
  <c r="I213" i="8"/>
  <c r="K204" i="8"/>
  <c r="I204" i="8" s="1"/>
  <c r="I212" i="8"/>
  <c r="S211" i="8"/>
  <c r="J211" i="8"/>
  <c r="G52" i="24"/>
  <c r="G53" i="24"/>
  <c r="G44" i="24"/>
  <c r="I40" i="24"/>
  <c r="I39" i="24"/>
  <c r="G39" i="24"/>
  <c r="K39" i="24" s="1"/>
  <c r="G40" i="24"/>
  <c r="K40" i="24" s="1"/>
  <c r="G56" i="18"/>
  <c r="G57" i="18"/>
  <c r="G58" i="18"/>
  <c r="N116" i="21"/>
  <c r="B5" i="49"/>
  <c r="B5" i="47"/>
  <c r="B4" i="46"/>
  <c r="Q235" i="10"/>
  <c r="G62" i="29"/>
  <c r="G61" i="29"/>
  <c r="Q237" i="10"/>
  <c r="Q238" i="10"/>
  <c r="Q243" i="10"/>
  <c r="Q244" i="10"/>
  <c r="F237" i="10"/>
  <c r="P237" i="10" s="1"/>
  <c r="S237" i="10" s="1"/>
  <c r="U237" i="10" s="1"/>
  <c r="F238" i="10"/>
  <c r="O238" i="10" s="1"/>
  <c r="F243" i="10"/>
  <c r="P243" i="10"/>
  <c r="S243" i="10"/>
  <c r="U243" i="10" s="1"/>
  <c r="F244" i="10"/>
  <c r="O244" i="10"/>
  <c r="Q236" i="10"/>
  <c r="F236" i="10"/>
  <c r="P236" i="10" s="1"/>
  <c r="S236" i="10" s="1"/>
  <c r="U236" i="10" s="1"/>
  <c r="F235" i="10"/>
  <c r="O235" i="10" s="1"/>
  <c r="P244" i="10"/>
  <c r="S244" i="10" s="1"/>
  <c r="U244" i="10" s="1"/>
  <c r="E51" i="66"/>
  <c r="E50" i="66" s="1"/>
  <c r="E52" i="66" s="1"/>
  <c r="C62" i="66" s="1"/>
  <c r="G12" i="46"/>
  <c r="D50" i="69"/>
  <c r="D49" i="69"/>
  <c r="D51" i="69" s="1"/>
  <c r="C61" i="69" s="1"/>
  <c r="E55" i="65"/>
  <c r="E54" i="65" s="1"/>
  <c r="E56" i="65" s="1"/>
  <c r="C66" i="65" s="1"/>
  <c r="D67" i="9"/>
  <c r="C38" i="34"/>
  <c r="G13" i="47"/>
  <c r="H287" i="10"/>
  <c r="C287" i="10"/>
  <c r="K286" i="10"/>
  <c r="E286" i="10"/>
  <c r="K285" i="10"/>
  <c r="E285" i="10"/>
  <c r="K284" i="10"/>
  <c r="E284" i="10"/>
  <c r="E287" i="10" s="1"/>
  <c r="D289" i="10" s="1"/>
  <c r="K283" i="10"/>
  <c r="E283" i="10"/>
  <c r="K282" i="10"/>
  <c r="K287" i="10"/>
  <c r="I289" i="10" s="1"/>
  <c r="E282" i="10"/>
  <c r="L40" i="72"/>
  <c r="L35" i="72"/>
  <c r="L30" i="72"/>
  <c r="L25" i="72"/>
  <c r="B5" i="50"/>
  <c r="C62" i="26"/>
  <c r="H12" i="26"/>
  <c r="G12" i="26"/>
  <c r="H6" i="49" s="1"/>
  <c r="L7" i="25" s="1"/>
  <c r="O9" i="57"/>
  <c r="O8" i="57"/>
  <c r="O7" i="57"/>
  <c r="N290" i="55"/>
  <c r="N289" i="55"/>
  <c r="N288" i="55"/>
  <c r="N287" i="55"/>
  <c r="N286" i="55"/>
  <c r="N285" i="55"/>
  <c r="N284" i="55"/>
  <c r="N283" i="55"/>
  <c r="N282" i="55"/>
  <c r="N281" i="55"/>
  <c r="N280" i="55"/>
  <c r="N279" i="55"/>
  <c r="N278" i="55"/>
  <c r="N277" i="55"/>
  <c r="N276" i="55"/>
  <c r="N275" i="55"/>
  <c r="N274" i="55"/>
  <c r="N273" i="55"/>
  <c r="N272" i="55"/>
  <c r="N271" i="55"/>
  <c r="N270" i="55"/>
  <c r="N269" i="55"/>
  <c r="N268" i="55"/>
  <c r="N267" i="55"/>
  <c r="N266" i="55"/>
  <c r="N265" i="55"/>
  <c r="N264" i="55"/>
  <c r="N263" i="55"/>
  <c r="N262" i="55"/>
  <c r="N261" i="55"/>
  <c r="N260" i="55"/>
  <c r="N259" i="55"/>
  <c r="N258" i="55"/>
  <c r="N257" i="55"/>
  <c r="N256" i="55"/>
  <c r="N255" i="55"/>
  <c r="N254" i="55"/>
  <c r="N253" i="55"/>
  <c r="N252" i="55"/>
  <c r="N251" i="55"/>
  <c r="N250" i="55"/>
  <c r="N249" i="55"/>
  <c r="N248" i="55"/>
  <c r="N247" i="55"/>
  <c r="N246" i="55"/>
  <c r="N245" i="55"/>
  <c r="N244" i="55"/>
  <c r="N243" i="55"/>
  <c r="N242" i="55"/>
  <c r="N241" i="55"/>
  <c r="N240" i="55"/>
  <c r="N239" i="55"/>
  <c r="N238" i="55"/>
  <c r="N237" i="55"/>
  <c r="N236" i="55"/>
  <c r="N235" i="55"/>
  <c r="N234" i="55"/>
  <c r="N233" i="55"/>
  <c r="N232" i="55"/>
  <c r="N231" i="55"/>
  <c r="N230" i="55"/>
  <c r="N229" i="55"/>
  <c r="N228" i="55"/>
  <c r="N227" i="55"/>
  <c r="N224" i="55"/>
  <c r="N223" i="55"/>
  <c r="N222" i="55"/>
  <c r="N221" i="55"/>
  <c r="N220" i="55"/>
  <c r="N219" i="55"/>
  <c r="N218" i="55"/>
  <c r="N217" i="55"/>
  <c r="M209" i="55"/>
  <c r="L209" i="55"/>
  <c r="K209" i="55"/>
  <c r="J209" i="55"/>
  <c r="I209" i="55"/>
  <c r="H209" i="55"/>
  <c r="G209" i="55"/>
  <c r="F209" i="55"/>
  <c r="E209" i="55"/>
  <c r="N209" i="55" s="1"/>
  <c r="D209" i="55"/>
  <c r="C209" i="55"/>
  <c r="B209" i="55"/>
  <c r="M208" i="55"/>
  <c r="L208" i="55"/>
  <c r="K208" i="55"/>
  <c r="J208" i="55"/>
  <c r="I208" i="55"/>
  <c r="H208" i="55"/>
  <c r="G208" i="55"/>
  <c r="F208" i="55"/>
  <c r="E208" i="55"/>
  <c r="D208" i="55"/>
  <c r="C208" i="55"/>
  <c r="B208" i="55"/>
  <c r="N208" i="55" s="1"/>
  <c r="M207" i="55"/>
  <c r="L207" i="55"/>
  <c r="K207" i="55"/>
  <c r="J207" i="55"/>
  <c r="I207" i="55"/>
  <c r="H207" i="55"/>
  <c r="G207" i="55"/>
  <c r="F207" i="55"/>
  <c r="E207" i="55"/>
  <c r="D207" i="55"/>
  <c r="C207" i="55"/>
  <c r="B207" i="55"/>
  <c r="N207" i="55" s="1"/>
  <c r="M206" i="55"/>
  <c r="L206" i="55"/>
  <c r="K206" i="55"/>
  <c r="J206" i="55"/>
  <c r="I206" i="55"/>
  <c r="H206" i="55"/>
  <c r="G206" i="55"/>
  <c r="F206" i="55"/>
  <c r="E206" i="55"/>
  <c r="D206" i="55"/>
  <c r="C206" i="55"/>
  <c r="N206" i="55" s="1"/>
  <c r="B206" i="55"/>
  <c r="M205" i="55"/>
  <c r="L205" i="55"/>
  <c r="K205" i="55"/>
  <c r="J205" i="55"/>
  <c r="I205" i="55"/>
  <c r="H205" i="55"/>
  <c r="G205" i="55"/>
  <c r="F205" i="55"/>
  <c r="E205" i="55"/>
  <c r="D205" i="55"/>
  <c r="C205" i="55"/>
  <c r="B205" i="55"/>
  <c r="N205" i="55"/>
  <c r="M204" i="55"/>
  <c r="L204" i="55"/>
  <c r="K204" i="55"/>
  <c r="J204" i="55"/>
  <c r="I204" i="55"/>
  <c r="H204" i="55"/>
  <c r="G204" i="55"/>
  <c r="F204" i="55"/>
  <c r="E204" i="55"/>
  <c r="D204" i="55"/>
  <c r="C204" i="55"/>
  <c r="B204" i="55"/>
  <c r="N204" i="55" s="1"/>
  <c r="M203" i="55"/>
  <c r="L203" i="55"/>
  <c r="K203" i="55"/>
  <c r="J203" i="55"/>
  <c r="I203" i="55"/>
  <c r="H203" i="55"/>
  <c r="G203" i="55"/>
  <c r="F203" i="55"/>
  <c r="E203" i="55"/>
  <c r="D203" i="55"/>
  <c r="C203" i="55"/>
  <c r="B203" i="55"/>
  <c r="N203" i="55" s="1"/>
  <c r="M202" i="55"/>
  <c r="L202" i="55"/>
  <c r="K202" i="55"/>
  <c r="J202" i="55"/>
  <c r="I202" i="55"/>
  <c r="H202" i="55"/>
  <c r="G202" i="55"/>
  <c r="F202" i="55"/>
  <c r="E202" i="55"/>
  <c r="D202" i="55"/>
  <c r="C202" i="55"/>
  <c r="N202" i="55" s="1"/>
  <c r="B202" i="55"/>
  <c r="M201" i="55"/>
  <c r="L201" i="55"/>
  <c r="K201" i="55"/>
  <c r="J201" i="55"/>
  <c r="I201" i="55"/>
  <c r="H201" i="55"/>
  <c r="G201" i="55"/>
  <c r="F201" i="55"/>
  <c r="E201" i="55"/>
  <c r="D201" i="55"/>
  <c r="C201" i="55"/>
  <c r="B201" i="55"/>
  <c r="N201" i="55"/>
  <c r="M200" i="55"/>
  <c r="L200" i="55"/>
  <c r="K200" i="55"/>
  <c r="J200" i="55"/>
  <c r="I200" i="55"/>
  <c r="H200" i="55"/>
  <c r="G200" i="55"/>
  <c r="F200" i="55"/>
  <c r="E200" i="55"/>
  <c r="D200" i="55"/>
  <c r="C200" i="55"/>
  <c r="B200" i="55"/>
  <c r="N200" i="55" s="1"/>
  <c r="M199" i="55"/>
  <c r="L199" i="55"/>
  <c r="K199" i="55"/>
  <c r="J199" i="55"/>
  <c r="I199" i="55"/>
  <c r="H199" i="55"/>
  <c r="G199" i="55"/>
  <c r="F199" i="55"/>
  <c r="E199" i="55"/>
  <c r="D199" i="55"/>
  <c r="C199" i="55"/>
  <c r="B199" i="55"/>
  <c r="N199" i="55" s="1"/>
  <c r="M198" i="55"/>
  <c r="L198" i="55"/>
  <c r="K198" i="55"/>
  <c r="J198" i="55"/>
  <c r="I198" i="55"/>
  <c r="H198" i="55"/>
  <c r="G198" i="55"/>
  <c r="F198" i="55"/>
  <c r="E198" i="55"/>
  <c r="D198" i="55"/>
  <c r="C198" i="55"/>
  <c r="N198" i="55" s="1"/>
  <c r="B198" i="55"/>
  <c r="M197" i="55"/>
  <c r="L197" i="55"/>
  <c r="K197" i="55"/>
  <c r="J197" i="55"/>
  <c r="I197" i="55"/>
  <c r="H197" i="55"/>
  <c r="G197" i="55"/>
  <c r="F197" i="55"/>
  <c r="E197" i="55"/>
  <c r="D197" i="55"/>
  <c r="C197" i="55"/>
  <c r="B197" i="55"/>
  <c r="N197" i="55"/>
  <c r="M196" i="55"/>
  <c r="L196" i="55"/>
  <c r="K196" i="55"/>
  <c r="J196" i="55"/>
  <c r="I196" i="55"/>
  <c r="H196" i="55"/>
  <c r="G196" i="55"/>
  <c r="F196" i="55"/>
  <c r="E196" i="55"/>
  <c r="D196" i="55"/>
  <c r="C196" i="55"/>
  <c r="B196" i="55"/>
  <c r="N196" i="55" s="1"/>
  <c r="M195" i="55"/>
  <c r="L195" i="55"/>
  <c r="K195" i="55"/>
  <c r="J195" i="55"/>
  <c r="I195" i="55"/>
  <c r="H195" i="55"/>
  <c r="G195" i="55"/>
  <c r="F195" i="55"/>
  <c r="E195" i="55"/>
  <c r="D195" i="55"/>
  <c r="C195" i="55"/>
  <c r="B195" i="55"/>
  <c r="N195" i="55" s="1"/>
  <c r="M194" i="55"/>
  <c r="L194" i="55"/>
  <c r="K194" i="55"/>
  <c r="J194" i="55"/>
  <c r="I194" i="55"/>
  <c r="H194" i="55"/>
  <c r="G194" i="55"/>
  <c r="F194" i="55"/>
  <c r="E194" i="55"/>
  <c r="D194" i="55"/>
  <c r="C194" i="55"/>
  <c r="N194" i="55" s="1"/>
  <c r="B194" i="55"/>
  <c r="M193" i="55"/>
  <c r="L193" i="55"/>
  <c r="K193" i="55"/>
  <c r="J193" i="55"/>
  <c r="I193" i="55"/>
  <c r="H193" i="55"/>
  <c r="G193" i="55"/>
  <c r="F193" i="55"/>
  <c r="E193" i="55"/>
  <c r="N193" i="55" s="1"/>
  <c r="D193" i="55"/>
  <c r="C193" i="55"/>
  <c r="B193" i="55"/>
  <c r="M192" i="55"/>
  <c r="L192" i="55"/>
  <c r="K192" i="55"/>
  <c r="J192" i="55"/>
  <c r="I192" i="55"/>
  <c r="H192" i="55"/>
  <c r="G192" i="55"/>
  <c r="F192" i="55"/>
  <c r="E192" i="55"/>
  <c r="D192" i="55"/>
  <c r="C192" i="55"/>
  <c r="B192" i="55"/>
  <c r="N192" i="55" s="1"/>
  <c r="M191" i="55"/>
  <c r="L191" i="55"/>
  <c r="K191" i="55"/>
  <c r="J191" i="55"/>
  <c r="I191" i="55"/>
  <c r="H191" i="55"/>
  <c r="G191" i="55"/>
  <c r="F191" i="55"/>
  <c r="E191" i="55"/>
  <c r="D191" i="55"/>
  <c r="C191" i="55"/>
  <c r="B191" i="55"/>
  <c r="N191" i="55" s="1"/>
  <c r="M190" i="55"/>
  <c r="L190" i="55"/>
  <c r="K190" i="55"/>
  <c r="J190" i="55"/>
  <c r="I190" i="55"/>
  <c r="H190" i="55"/>
  <c r="G190" i="55"/>
  <c r="F190" i="55"/>
  <c r="E190" i="55"/>
  <c r="D190" i="55"/>
  <c r="C190" i="55"/>
  <c r="B190" i="55"/>
  <c r="N190" i="55" s="1"/>
  <c r="M189" i="55"/>
  <c r="L189" i="55"/>
  <c r="K189" i="55"/>
  <c r="J189" i="55"/>
  <c r="I189" i="55"/>
  <c r="H189" i="55"/>
  <c r="G189" i="55"/>
  <c r="F189" i="55"/>
  <c r="E189" i="55"/>
  <c r="N189" i="55" s="1"/>
  <c r="D189" i="55"/>
  <c r="C189" i="55"/>
  <c r="B189" i="55"/>
  <c r="M188" i="55"/>
  <c r="L188" i="55"/>
  <c r="K188" i="55"/>
  <c r="J188" i="55"/>
  <c r="I188" i="55"/>
  <c r="H188" i="55"/>
  <c r="G188" i="55"/>
  <c r="F188" i="55"/>
  <c r="E188" i="55"/>
  <c r="D188" i="55"/>
  <c r="C188" i="55"/>
  <c r="B188" i="55"/>
  <c r="N188" i="55" s="1"/>
  <c r="M187" i="55"/>
  <c r="L187" i="55"/>
  <c r="K187" i="55"/>
  <c r="J187" i="55"/>
  <c r="I187" i="55"/>
  <c r="H187" i="55"/>
  <c r="G187" i="55"/>
  <c r="F187" i="55"/>
  <c r="E187" i="55"/>
  <c r="D187" i="55"/>
  <c r="C187" i="55"/>
  <c r="B187" i="55"/>
  <c r="N187" i="55" s="1"/>
  <c r="M186" i="55"/>
  <c r="L186" i="55"/>
  <c r="K186" i="55"/>
  <c r="J186" i="55"/>
  <c r="I186" i="55"/>
  <c r="H186" i="55"/>
  <c r="G186" i="55"/>
  <c r="F186" i="55"/>
  <c r="E186" i="55"/>
  <c r="D186" i="55"/>
  <c r="C186" i="55"/>
  <c r="B186" i="55"/>
  <c r="N186" i="55" s="1"/>
  <c r="M185" i="55"/>
  <c r="L185" i="55"/>
  <c r="K185" i="55"/>
  <c r="J185" i="55"/>
  <c r="I185" i="55"/>
  <c r="H185" i="55"/>
  <c r="G185" i="55"/>
  <c r="F185" i="55"/>
  <c r="E185" i="55"/>
  <c r="D185" i="55"/>
  <c r="C185" i="55"/>
  <c r="B185" i="55"/>
  <c r="N185" i="55"/>
  <c r="M184" i="55"/>
  <c r="L184" i="55"/>
  <c r="K184" i="55"/>
  <c r="J184" i="55"/>
  <c r="I184" i="55"/>
  <c r="H184" i="55"/>
  <c r="G184" i="55"/>
  <c r="F184" i="55"/>
  <c r="E184" i="55"/>
  <c r="D184" i="55"/>
  <c r="C184" i="55"/>
  <c r="B184" i="55"/>
  <c r="N184" i="55" s="1"/>
  <c r="M183" i="55"/>
  <c r="L183" i="55"/>
  <c r="K183" i="55"/>
  <c r="J183" i="55"/>
  <c r="I183" i="55"/>
  <c r="H183" i="55"/>
  <c r="G183" i="55"/>
  <c r="F183" i="55"/>
  <c r="E183" i="55"/>
  <c r="D183" i="55"/>
  <c r="C183" i="55"/>
  <c r="B183" i="55"/>
  <c r="N183" i="55" s="1"/>
  <c r="M182" i="55"/>
  <c r="L182" i="55"/>
  <c r="K182" i="55"/>
  <c r="J182" i="55"/>
  <c r="I182" i="55"/>
  <c r="H182" i="55"/>
  <c r="G182" i="55"/>
  <c r="F182" i="55"/>
  <c r="E182" i="55"/>
  <c r="D182" i="55"/>
  <c r="C182" i="55"/>
  <c r="B182" i="55"/>
  <c r="N182" i="55" s="1"/>
  <c r="M181" i="55"/>
  <c r="L181" i="55"/>
  <c r="K181" i="55"/>
  <c r="J181" i="55"/>
  <c r="I181" i="55"/>
  <c r="H181" i="55"/>
  <c r="G181" i="55"/>
  <c r="F181" i="55"/>
  <c r="E181" i="55"/>
  <c r="D181" i="55"/>
  <c r="C181" i="55"/>
  <c r="B181" i="55"/>
  <c r="N181" i="55"/>
  <c r="M180" i="55"/>
  <c r="L180" i="55"/>
  <c r="K180" i="55"/>
  <c r="J180" i="55"/>
  <c r="I180" i="55"/>
  <c r="H180" i="55"/>
  <c r="G180" i="55"/>
  <c r="F180" i="55"/>
  <c r="E180" i="55"/>
  <c r="D180" i="55"/>
  <c r="C180" i="55"/>
  <c r="B180" i="55"/>
  <c r="N180" i="55" s="1"/>
  <c r="M179" i="55"/>
  <c r="L179" i="55"/>
  <c r="K179" i="55"/>
  <c r="J179" i="55"/>
  <c r="I179" i="55"/>
  <c r="H179" i="55"/>
  <c r="G179" i="55"/>
  <c r="F179" i="55"/>
  <c r="E179" i="55"/>
  <c r="D179" i="55"/>
  <c r="C179" i="55"/>
  <c r="B179" i="55"/>
  <c r="N179" i="55" s="1"/>
  <c r="M178" i="55"/>
  <c r="L178" i="55"/>
  <c r="K178" i="55"/>
  <c r="J178" i="55"/>
  <c r="I178" i="55"/>
  <c r="H178" i="55"/>
  <c r="G178" i="55"/>
  <c r="F178" i="55"/>
  <c r="E178" i="55"/>
  <c r="D178" i="55"/>
  <c r="C178" i="55"/>
  <c r="N178" i="55" s="1"/>
  <c r="B178" i="55"/>
  <c r="M177" i="55"/>
  <c r="L177" i="55"/>
  <c r="K177" i="55"/>
  <c r="J177" i="55"/>
  <c r="I177" i="55"/>
  <c r="H177" i="55"/>
  <c r="G177" i="55"/>
  <c r="F177" i="55"/>
  <c r="E177" i="55"/>
  <c r="N177" i="55" s="1"/>
  <c r="D177" i="55"/>
  <c r="C177" i="55"/>
  <c r="B177" i="55"/>
  <c r="M176" i="55"/>
  <c r="L176" i="55"/>
  <c r="K176" i="55"/>
  <c r="J176" i="55"/>
  <c r="I176" i="55"/>
  <c r="H176" i="55"/>
  <c r="G176" i="55"/>
  <c r="F176" i="55"/>
  <c r="E176" i="55"/>
  <c r="D176" i="55"/>
  <c r="C176" i="55"/>
  <c r="B176" i="55"/>
  <c r="N176" i="55" s="1"/>
  <c r="M175" i="55"/>
  <c r="L175" i="55"/>
  <c r="K175" i="55"/>
  <c r="J175" i="55"/>
  <c r="I175" i="55"/>
  <c r="H175" i="55"/>
  <c r="G175" i="55"/>
  <c r="F175" i="55"/>
  <c r="E175" i="55"/>
  <c r="D175" i="55"/>
  <c r="C175" i="55"/>
  <c r="B175" i="55"/>
  <c r="N175" i="55" s="1"/>
  <c r="M174" i="55"/>
  <c r="L174" i="55"/>
  <c r="K174" i="55"/>
  <c r="J174" i="55"/>
  <c r="I174" i="55"/>
  <c r="H174" i="55"/>
  <c r="G174" i="55"/>
  <c r="F174" i="55"/>
  <c r="E174" i="55"/>
  <c r="D174" i="55"/>
  <c r="C174" i="55"/>
  <c r="N174" i="55" s="1"/>
  <c r="B174" i="55"/>
  <c r="M173" i="55"/>
  <c r="L173" i="55"/>
  <c r="K173" i="55"/>
  <c r="J173" i="55"/>
  <c r="I173" i="55"/>
  <c r="H173" i="55"/>
  <c r="G173" i="55"/>
  <c r="F173" i="55"/>
  <c r="E173" i="55"/>
  <c r="N173" i="55" s="1"/>
  <c r="D173" i="55"/>
  <c r="C173" i="55"/>
  <c r="B173" i="55"/>
  <c r="M172" i="55"/>
  <c r="L172" i="55"/>
  <c r="K172" i="55"/>
  <c r="J172" i="55"/>
  <c r="I172" i="55"/>
  <c r="H172" i="55"/>
  <c r="G172" i="55"/>
  <c r="F172" i="55"/>
  <c r="E172" i="55"/>
  <c r="D172" i="55"/>
  <c r="C172" i="55"/>
  <c r="B172" i="55"/>
  <c r="N172" i="55" s="1"/>
  <c r="M171" i="55"/>
  <c r="L171" i="55"/>
  <c r="K171" i="55"/>
  <c r="J171" i="55"/>
  <c r="I171" i="55"/>
  <c r="H171" i="55"/>
  <c r="G171" i="55"/>
  <c r="F171" i="55"/>
  <c r="E171" i="55"/>
  <c r="D171" i="55"/>
  <c r="C171" i="55"/>
  <c r="B171" i="55"/>
  <c r="N171" i="55" s="1"/>
  <c r="M170" i="55"/>
  <c r="L170" i="55"/>
  <c r="K170" i="55"/>
  <c r="J170" i="55"/>
  <c r="I170" i="55"/>
  <c r="H170" i="55"/>
  <c r="G170" i="55"/>
  <c r="F170" i="55"/>
  <c r="E170" i="55"/>
  <c r="D170" i="55"/>
  <c r="C170" i="55"/>
  <c r="N170" i="55" s="1"/>
  <c r="B170" i="55"/>
  <c r="M169" i="55"/>
  <c r="L169" i="55"/>
  <c r="K169" i="55"/>
  <c r="J169" i="55"/>
  <c r="I169" i="55"/>
  <c r="H169" i="55"/>
  <c r="G169" i="55"/>
  <c r="F169" i="55"/>
  <c r="E169" i="55"/>
  <c r="N169" i="55" s="1"/>
  <c r="D169" i="55"/>
  <c r="C169" i="55"/>
  <c r="B169" i="55"/>
  <c r="M168" i="55"/>
  <c r="L168" i="55"/>
  <c r="K168" i="55"/>
  <c r="J168" i="55"/>
  <c r="I168" i="55"/>
  <c r="H168" i="55"/>
  <c r="G168" i="55"/>
  <c r="F168" i="55"/>
  <c r="E168" i="55"/>
  <c r="D168" i="55"/>
  <c r="C168" i="55"/>
  <c r="B168" i="55"/>
  <c r="N168" i="55" s="1"/>
  <c r="M167" i="55"/>
  <c r="L167" i="55"/>
  <c r="K167" i="55"/>
  <c r="J167" i="55"/>
  <c r="I167" i="55"/>
  <c r="H167" i="55"/>
  <c r="G167" i="55"/>
  <c r="F167" i="55"/>
  <c r="E167" i="55"/>
  <c r="D167" i="55"/>
  <c r="C167" i="55"/>
  <c r="B167" i="55"/>
  <c r="N167" i="55" s="1"/>
  <c r="M166" i="55"/>
  <c r="L166" i="55"/>
  <c r="K166" i="55"/>
  <c r="J166" i="55"/>
  <c r="I166" i="55"/>
  <c r="H166" i="55"/>
  <c r="G166" i="55"/>
  <c r="F166" i="55"/>
  <c r="E166" i="55"/>
  <c r="D166" i="55"/>
  <c r="C166" i="55"/>
  <c r="N166" i="55" s="1"/>
  <c r="B166" i="55"/>
  <c r="M165" i="55"/>
  <c r="L165" i="55"/>
  <c r="K165" i="55"/>
  <c r="J165" i="55"/>
  <c r="I165" i="55"/>
  <c r="H165" i="55"/>
  <c r="G165" i="55"/>
  <c r="F165" i="55"/>
  <c r="E165" i="55"/>
  <c r="N165" i="55" s="1"/>
  <c r="D165" i="55"/>
  <c r="C165" i="55"/>
  <c r="B165" i="55"/>
  <c r="M164" i="55"/>
  <c r="L164" i="55"/>
  <c r="K164" i="55"/>
  <c r="J164" i="55"/>
  <c r="I164" i="55"/>
  <c r="H164" i="55"/>
  <c r="G164" i="55"/>
  <c r="F164" i="55"/>
  <c r="E164" i="55"/>
  <c r="D164" i="55"/>
  <c r="C164" i="55"/>
  <c r="B164" i="55"/>
  <c r="N164" i="55" s="1"/>
  <c r="M163" i="55"/>
  <c r="L163" i="55"/>
  <c r="K163" i="55"/>
  <c r="J163" i="55"/>
  <c r="I163" i="55"/>
  <c r="H163" i="55"/>
  <c r="G163" i="55"/>
  <c r="F163" i="55"/>
  <c r="E163" i="55"/>
  <c r="D163" i="55"/>
  <c r="C163" i="55"/>
  <c r="B163" i="55"/>
  <c r="N163" i="55" s="1"/>
  <c r="M162" i="55"/>
  <c r="L162" i="55"/>
  <c r="K162" i="55"/>
  <c r="J162" i="55"/>
  <c r="I162" i="55"/>
  <c r="H162" i="55"/>
  <c r="G162" i="55"/>
  <c r="F162" i="55"/>
  <c r="E162" i="55"/>
  <c r="D162" i="55"/>
  <c r="C162" i="55"/>
  <c r="N162" i="55" s="1"/>
  <c r="B162" i="55"/>
  <c r="M161" i="55"/>
  <c r="L161" i="55"/>
  <c r="K161" i="55"/>
  <c r="J161" i="55"/>
  <c r="I161" i="55"/>
  <c r="H161" i="55"/>
  <c r="G161" i="55"/>
  <c r="F161" i="55"/>
  <c r="E161" i="55"/>
  <c r="D161" i="55"/>
  <c r="C161" i="55"/>
  <c r="B161" i="55"/>
  <c r="N161" i="55"/>
  <c r="M160" i="55"/>
  <c r="L160" i="55"/>
  <c r="K160" i="55"/>
  <c r="J160" i="55"/>
  <c r="I160" i="55"/>
  <c r="H160" i="55"/>
  <c r="G160" i="55"/>
  <c r="F160" i="55"/>
  <c r="E160" i="55"/>
  <c r="D160" i="55"/>
  <c r="C160" i="55"/>
  <c r="B160" i="55"/>
  <c r="N160" i="55" s="1"/>
  <c r="M159" i="55"/>
  <c r="L159" i="55"/>
  <c r="K159" i="55"/>
  <c r="J159" i="55"/>
  <c r="I159" i="55"/>
  <c r="H159" i="55"/>
  <c r="G159" i="55"/>
  <c r="F159" i="55"/>
  <c r="E159" i="55"/>
  <c r="D159" i="55"/>
  <c r="C159" i="55"/>
  <c r="B159" i="55"/>
  <c r="N159" i="55" s="1"/>
  <c r="M158" i="55"/>
  <c r="L158" i="55"/>
  <c r="K158" i="55"/>
  <c r="J158" i="55"/>
  <c r="I158" i="55"/>
  <c r="H158" i="55"/>
  <c r="G158" i="55"/>
  <c r="F158" i="55"/>
  <c r="E158" i="55"/>
  <c r="D158" i="55"/>
  <c r="C158" i="55"/>
  <c r="N158" i="55" s="1"/>
  <c r="B158" i="55"/>
  <c r="M157" i="55"/>
  <c r="L157" i="55"/>
  <c r="K157" i="55"/>
  <c r="J157" i="55"/>
  <c r="I157" i="55"/>
  <c r="H157" i="55"/>
  <c r="G157" i="55"/>
  <c r="F157" i="55"/>
  <c r="E157" i="55"/>
  <c r="D157" i="55"/>
  <c r="C157" i="55"/>
  <c r="B157" i="55"/>
  <c r="N157" i="55"/>
  <c r="M156" i="55"/>
  <c r="L156" i="55"/>
  <c r="K156" i="55"/>
  <c r="J156" i="55"/>
  <c r="I156" i="55"/>
  <c r="H156" i="55"/>
  <c r="G156" i="55"/>
  <c r="F156" i="55"/>
  <c r="E156" i="55"/>
  <c r="D156" i="55"/>
  <c r="C156" i="55"/>
  <c r="B156" i="55"/>
  <c r="N156" i="55" s="1"/>
  <c r="M155" i="55"/>
  <c r="L155" i="55"/>
  <c r="K155" i="55"/>
  <c r="J155" i="55"/>
  <c r="I155" i="55"/>
  <c r="H155" i="55"/>
  <c r="G155" i="55"/>
  <c r="F155" i="55"/>
  <c r="E155" i="55"/>
  <c r="D155" i="55"/>
  <c r="C155" i="55"/>
  <c r="B155" i="55"/>
  <c r="N155" i="55" s="1"/>
  <c r="M154" i="55"/>
  <c r="L154" i="55"/>
  <c r="K154" i="55"/>
  <c r="J154" i="55"/>
  <c r="I154" i="55"/>
  <c r="H154" i="55"/>
  <c r="G154" i="55"/>
  <c r="F154" i="55"/>
  <c r="E154" i="55"/>
  <c r="D154" i="55"/>
  <c r="C154" i="55"/>
  <c r="N154" i="55" s="1"/>
  <c r="B154" i="55"/>
  <c r="M153" i="55"/>
  <c r="L153" i="55"/>
  <c r="K153" i="55"/>
  <c r="J153" i="55"/>
  <c r="I153" i="55"/>
  <c r="H153" i="55"/>
  <c r="G153" i="55"/>
  <c r="F153" i="55"/>
  <c r="E153" i="55"/>
  <c r="N153" i="55" s="1"/>
  <c r="D153" i="55"/>
  <c r="C153" i="55"/>
  <c r="B153" i="55"/>
  <c r="M152" i="55"/>
  <c r="L152" i="55"/>
  <c r="K152" i="55"/>
  <c r="J152" i="55"/>
  <c r="I152" i="55"/>
  <c r="H152" i="55"/>
  <c r="G152" i="55"/>
  <c r="F152" i="55"/>
  <c r="E152" i="55"/>
  <c r="D152" i="55"/>
  <c r="C152" i="55"/>
  <c r="B152" i="55"/>
  <c r="N152" i="55" s="1"/>
  <c r="M151" i="55"/>
  <c r="L151" i="55"/>
  <c r="K151" i="55"/>
  <c r="J151" i="55"/>
  <c r="I151" i="55"/>
  <c r="H151" i="55"/>
  <c r="G151" i="55"/>
  <c r="F151" i="55"/>
  <c r="E151" i="55"/>
  <c r="D151" i="55"/>
  <c r="C151" i="55"/>
  <c r="B151" i="55"/>
  <c r="N151" i="55" s="1"/>
  <c r="M150" i="55"/>
  <c r="L150" i="55"/>
  <c r="K150" i="55"/>
  <c r="J150" i="55"/>
  <c r="I150" i="55"/>
  <c r="H150" i="55"/>
  <c r="G150" i="55"/>
  <c r="F150" i="55"/>
  <c r="E150" i="55"/>
  <c r="D150" i="55"/>
  <c r="C150" i="55"/>
  <c r="B150" i="55"/>
  <c r="N150" i="55" s="1"/>
  <c r="M149" i="55"/>
  <c r="L149" i="55"/>
  <c r="K149" i="55"/>
  <c r="J149" i="55"/>
  <c r="I149" i="55"/>
  <c r="H149" i="55"/>
  <c r="G149" i="55"/>
  <c r="F149" i="55"/>
  <c r="E149" i="55"/>
  <c r="N149" i="55" s="1"/>
  <c r="D149" i="55"/>
  <c r="C149" i="55"/>
  <c r="B149" i="55"/>
  <c r="M148" i="55"/>
  <c r="L148" i="55"/>
  <c r="K148" i="55"/>
  <c r="J148" i="55"/>
  <c r="I148" i="55"/>
  <c r="H148" i="55"/>
  <c r="G148" i="55"/>
  <c r="F148" i="55"/>
  <c r="E148" i="55"/>
  <c r="D148" i="55"/>
  <c r="C148" i="55"/>
  <c r="B148" i="55"/>
  <c r="N148" i="55" s="1"/>
  <c r="M147" i="55"/>
  <c r="L147" i="55"/>
  <c r="K147" i="55"/>
  <c r="J147" i="55"/>
  <c r="I147" i="55"/>
  <c r="H147" i="55"/>
  <c r="G147" i="55"/>
  <c r="F147" i="55"/>
  <c r="E147" i="55"/>
  <c r="D147" i="55"/>
  <c r="C147" i="55"/>
  <c r="B147" i="55"/>
  <c r="N147" i="55" s="1"/>
  <c r="M146" i="55"/>
  <c r="L146" i="55"/>
  <c r="K146" i="55"/>
  <c r="J146" i="55"/>
  <c r="I146" i="55"/>
  <c r="H146" i="55"/>
  <c r="G146" i="55"/>
  <c r="F146" i="55"/>
  <c r="E146" i="55"/>
  <c r="D146" i="55"/>
  <c r="C146" i="55"/>
  <c r="B146" i="55"/>
  <c r="N146" i="55" s="1"/>
  <c r="N138" i="55"/>
  <c r="N137" i="55"/>
  <c r="N136" i="55"/>
  <c r="N135" i="55"/>
  <c r="N134" i="55"/>
  <c r="N133" i="55"/>
  <c r="N132" i="55"/>
  <c r="N131" i="55"/>
  <c r="N130" i="55"/>
  <c r="N129" i="55"/>
  <c r="N128" i="55"/>
  <c r="N127" i="55"/>
  <c r="N126" i="55"/>
  <c r="N125" i="55"/>
  <c r="N124" i="55"/>
  <c r="N123" i="55"/>
  <c r="N122" i="55"/>
  <c r="N121" i="55"/>
  <c r="N120" i="55"/>
  <c r="N119" i="55"/>
  <c r="N118" i="55"/>
  <c r="N117" i="55"/>
  <c r="N116" i="55"/>
  <c r="N115" i="55"/>
  <c r="N114" i="55"/>
  <c r="N113" i="55"/>
  <c r="N112" i="55"/>
  <c r="N111" i="55"/>
  <c r="N110" i="55"/>
  <c r="N109" i="55"/>
  <c r="N108" i="55"/>
  <c r="N107" i="55"/>
  <c r="N106" i="55"/>
  <c r="N105" i="55"/>
  <c r="N104" i="55"/>
  <c r="N103" i="55"/>
  <c r="N102" i="55"/>
  <c r="N101" i="55"/>
  <c r="N100" i="55"/>
  <c r="N99" i="55"/>
  <c r="N98" i="55"/>
  <c r="N97" i="55"/>
  <c r="N96" i="55"/>
  <c r="N95" i="55"/>
  <c r="N94" i="55"/>
  <c r="N93" i="55"/>
  <c r="N92" i="55"/>
  <c r="N91" i="55"/>
  <c r="N90" i="55"/>
  <c r="N89" i="55"/>
  <c r="N88" i="55"/>
  <c r="N87" i="55"/>
  <c r="N86" i="55"/>
  <c r="N85" i="55"/>
  <c r="N84" i="55"/>
  <c r="N83" i="55"/>
  <c r="N82" i="55"/>
  <c r="N81" i="55"/>
  <c r="N80" i="55"/>
  <c r="N79" i="55"/>
  <c r="N78" i="55"/>
  <c r="N77" i="55"/>
  <c r="N76" i="55"/>
  <c r="N75" i="55"/>
  <c r="N68" i="55"/>
  <c r="N67" i="55"/>
  <c r="N66" i="55"/>
  <c r="N65" i="55"/>
  <c r="N64" i="55"/>
  <c r="N63" i="55"/>
  <c r="N62" i="55"/>
  <c r="N61" i="55"/>
  <c r="N60" i="55"/>
  <c r="N59" i="55"/>
  <c r="N58" i="55"/>
  <c r="N57" i="55"/>
  <c r="N56" i="55"/>
  <c r="N55" i="55"/>
  <c r="N54" i="55"/>
  <c r="N53" i="55"/>
  <c r="N52" i="55"/>
  <c r="N51" i="55"/>
  <c r="N50" i="55"/>
  <c r="N49" i="55"/>
  <c r="N48" i="55"/>
  <c r="N47" i="55"/>
  <c r="N46" i="55"/>
  <c r="N45" i="55"/>
  <c r="N44" i="55"/>
  <c r="N43" i="55"/>
  <c r="N42" i="55"/>
  <c r="N41" i="55"/>
  <c r="N40" i="55"/>
  <c r="N39" i="55"/>
  <c r="N38" i="55"/>
  <c r="N37" i="55"/>
  <c r="N36" i="55"/>
  <c r="N35" i="55"/>
  <c r="N34" i="55"/>
  <c r="N33" i="55"/>
  <c r="N32" i="55"/>
  <c r="N31" i="55"/>
  <c r="N30" i="55"/>
  <c r="N29" i="55"/>
  <c r="N28" i="55"/>
  <c r="N27" i="55"/>
  <c r="N26" i="55"/>
  <c r="N25" i="55"/>
  <c r="N24" i="55"/>
  <c r="N23" i="55"/>
  <c r="N22" i="55"/>
  <c r="N21" i="55"/>
  <c r="N20" i="55"/>
  <c r="N19" i="55"/>
  <c r="N18" i="55"/>
  <c r="N17" i="55"/>
  <c r="N16" i="55"/>
  <c r="N15" i="55"/>
  <c r="N14" i="55"/>
  <c r="N13" i="55"/>
  <c r="N12" i="55"/>
  <c r="N11" i="55"/>
  <c r="N10" i="55"/>
  <c r="N9" i="55"/>
  <c r="N8" i="55"/>
  <c r="N7" i="55"/>
  <c r="N6" i="55"/>
  <c r="N5" i="55"/>
  <c r="G8" i="52"/>
  <c r="G11" i="50"/>
  <c r="G13" i="49"/>
  <c r="G10" i="41"/>
  <c r="G12" i="45"/>
  <c r="B4" i="41"/>
  <c r="F60" i="34"/>
  <c r="G60" i="34" s="1"/>
  <c r="F59" i="34"/>
  <c r="G59" i="34" s="1"/>
  <c r="C72" i="34"/>
  <c r="E40" i="17"/>
  <c r="E41" i="17"/>
  <c r="E47" i="17"/>
  <c r="E48" i="17"/>
  <c r="E39" i="17"/>
  <c r="F36" i="17"/>
  <c r="D51" i="17" s="1"/>
  <c r="C61" i="17" s="1"/>
  <c r="C49" i="17"/>
  <c r="D63" i="9"/>
  <c r="E48" i="9"/>
  <c r="F70" i="9" s="1"/>
  <c r="D64" i="9"/>
  <c r="C41" i="37"/>
  <c r="H12" i="37"/>
  <c r="P31" i="25"/>
  <c r="N8" i="57" s="1"/>
  <c r="G41" i="18"/>
  <c r="G42" i="18"/>
  <c r="G43" i="18"/>
  <c r="G44" i="18"/>
  <c r="G45" i="18"/>
  <c r="G46" i="18"/>
  <c r="G49" i="18"/>
  <c r="G50" i="18"/>
  <c r="G52" i="18"/>
  <c r="G53" i="18"/>
  <c r="G55" i="18"/>
  <c r="G59" i="18"/>
  <c r="I214" i="8"/>
  <c r="E122" i="21"/>
  <c r="C132" i="21" s="1"/>
  <c r="V117" i="28"/>
  <c r="P117" i="28"/>
  <c r="Q117" i="28"/>
  <c r="E133" i="28" s="1"/>
  <c r="E134" i="28" s="1"/>
  <c r="C144" i="28" s="1"/>
  <c r="C145" i="28" s="1"/>
  <c r="AD123" i="40"/>
  <c r="V123" i="40"/>
  <c r="AA122" i="40"/>
  <c r="AD121" i="40"/>
  <c r="V121" i="40"/>
  <c r="AA120" i="40"/>
  <c r="AD119" i="40"/>
  <c r="AG121" i="40"/>
  <c r="V118" i="40"/>
  <c r="G15" i="34"/>
  <c r="C73" i="34"/>
  <c r="H15" i="34" s="1"/>
  <c r="C39" i="34"/>
  <c r="H14" i="34"/>
  <c r="S213" i="8"/>
  <c r="J213" i="8" s="1"/>
  <c r="G13" i="36"/>
  <c r="M13" i="36" s="1"/>
  <c r="C84" i="36"/>
  <c r="H13" i="36" s="1"/>
  <c r="G14" i="34"/>
  <c r="G12" i="21"/>
  <c r="G13" i="21"/>
  <c r="N13" i="21" s="1"/>
  <c r="M14" i="28"/>
  <c r="E88" i="28"/>
  <c r="C44" i="33"/>
  <c r="H12" i="33" s="1"/>
  <c r="G16" i="36"/>
  <c r="M16" i="36" s="1"/>
  <c r="G12" i="36"/>
  <c r="C48" i="36"/>
  <c r="H12" i="36" s="1"/>
  <c r="C45" i="53"/>
  <c r="H12" i="53"/>
  <c r="S205" i="8"/>
  <c r="J205" i="8" s="1"/>
  <c r="O114" i="40"/>
  <c r="AF123" i="40"/>
  <c r="AB123" i="40"/>
  <c r="X123" i="40"/>
  <c r="AG122" i="40"/>
  <c r="AC122" i="40"/>
  <c r="Y122" i="40"/>
  <c r="X121" i="40"/>
  <c r="AG120" i="40"/>
  <c r="AF118" i="40"/>
  <c r="AE118" i="40"/>
  <c r="AD120" i="40"/>
  <c r="X118" i="40"/>
  <c r="W118" i="40"/>
  <c r="AG118" i="40"/>
  <c r="V120" i="40"/>
  <c r="O113" i="40"/>
  <c r="AG123" i="40"/>
  <c r="AE123" i="40"/>
  <c r="AA123" i="40"/>
  <c r="Y123" i="40"/>
  <c r="W123" i="40"/>
  <c r="AD122" i="40"/>
  <c r="AB122" i="40"/>
  <c r="X122" i="40"/>
  <c r="V122" i="40"/>
  <c r="AE121" i="40"/>
  <c r="AA121" i="40"/>
  <c r="Y121" i="40"/>
  <c r="W121" i="40"/>
  <c r="AB120" i="40"/>
  <c r="X120" i="40"/>
  <c r="AE119" i="40"/>
  <c r="AA119" i="40"/>
  <c r="W119" i="40"/>
  <c r="AG119" i="40"/>
  <c r="K155" i="10"/>
  <c r="I157" i="10"/>
  <c r="E155" i="10"/>
  <c r="D157" i="10" s="1"/>
  <c r="D116" i="10"/>
  <c r="P235" i="10"/>
  <c r="S235" i="10" s="1"/>
  <c r="U235" i="10" s="1"/>
  <c r="R244" i="10"/>
  <c r="T244" i="10"/>
  <c r="I244" i="10" s="1"/>
  <c r="O237" i="10"/>
  <c r="O243" i="10"/>
  <c r="C90" i="26"/>
  <c r="H13" i="26"/>
  <c r="H14" i="26" s="1"/>
  <c r="C48" i="81"/>
  <c r="I11" i="81"/>
  <c r="E49" i="17"/>
  <c r="C51" i="35"/>
  <c r="H12" i="35" s="1"/>
  <c r="S204" i="8"/>
  <c r="J204" i="8"/>
  <c r="G12" i="37"/>
  <c r="C110" i="19"/>
  <c r="C111" i="19"/>
  <c r="I20" i="19" s="1"/>
  <c r="C170" i="8"/>
  <c r="C81" i="19"/>
  <c r="C82" i="19"/>
  <c r="I14" i="19" s="1"/>
  <c r="R237" i="10"/>
  <c r="T237" i="10" s="1"/>
  <c r="R243" i="10"/>
  <c r="T243" i="10"/>
  <c r="I243" i="10" s="1"/>
  <c r="G18" i="10"/>
  <c r="H20" i="19"/>
  <c r="H22" i="10"/>
  <c r="O22" i="10" s="1"/>
  <c r="G24" i="10"/>
  <c r="E118" i="7"/>
  <c r="E119" i="7"/>
  <c r="D60" i="89"/>
  <c r="D61" i="89"/>
  <c r="C72" i="89"/>
  <c r="C73" i="89" s="1"/>
  <c r="I12" i="89" s="1"/>
  <c r="H12" i="89"/>
  <c r="H11" i="47" s="1"/>
  <c r="L22" i="25" s="1"/>
  <c r="G13" i="29"/>
  <c r="N13" i="29"/>
  <c r="C75" i="29"/>
  <c r="H13" i="29"/>
  <c r="C47" i="29"/>
  <c r="H12" i="29"/>
  <c r="G12" i="29"/>
  <c r="N12" i="29"/>
  <c r="C57" i="16"/>
  <c r="H12" i="16" s="1"/>
  <c r="L14" i="7"/>
  <c r="G11" i="58"/>
  <c r="C41" i="58"/>
  <c r="H11" i="58"/>
  <c r="C98" i="58"/>
  <c r="H13" i="58"/>
  <c r="G13" i="58"/>
  <c r="M13" i="58"/>
  <c r="C146" i="58"/>
  <c r="H14" i="58"/>
  <c r="C67" i="58"/>
  <c r="H12" i="58"/>
  <c r="C62" i="72"/>
  <c r="C63" i="72"/>
  <c r="G12" i="72"/>
  <c r="H7" i="52"/>
  <c r="H12" i="72"/>
  <c r="X55" i="39"/>
  <c r="S209" i="8"/>
  <c r="J209" i="8" s="1"/>
  <c r="S212" i="8"/>
  <c r="J212" i="8"/>
  <c r="S210" i="8"/>
  <c r="J210" i="8" s="1"/>
  <c r="K206" i="8"/>
  <c r="K208" i="8"/>
  <c r="I31" i="8"/>
  <c r="F112" i="8"/>
  <c r="H31" i="8"/>
  <c r="X54" i="39"/>
  <c r="Z54" i="39"/>
  <c r="Y58" i="39"/>
  <c r="Y60" i="39"/>
  <c r="X58" i="39"/>
  <c r="Y54" i="39"/>
  <c r="X42" i="39"/>
  <c r="S53" i="39"/>
  <c r="V53" i="39" s="1"/>
  <c r="X53" i="39" s="1"/>
  <c r="F37" i="25"/>
  <c r="Z53" i="39"/>
  <c r="L53" i="39"/>
  <c r="C78" i="8" l="1"/>
  <c r="I14" i="8" s="1"/>
  <c r="I18" i="8" s="1"/>
  <c r="J214" i="8"/>
  <c r="E216" i="8" s="1"/>
  <c r="H15" i="58"/>
  <c r="G12" i="69"/>
  <c r="H11" i="46" s="1"/>
  <c r="F32" i="25" s="1"/>
  <c r="C62" i="69"/>
  <c r="H12" i="69" s="1"/>
  <c r="N12" i="89"/>
  <c r="C133" i="21"/>
  <c r="H15" i="21" s="1"/>
  <c r="G15" i="21"/>
  <c r="D62" i="34"/>
  <c r="R235" i="10"/>
  <c r="T235" i="10" s="1"/>
  <c r="I235" i="10" s="1"/>
  <c r="R238" i="10"/>
  <c r="T238" i="10" s="1"/>
  <c r="G12" i="64"/>
  <c r="H8" i="46" s="1"/>
  <c r="F29" i="25" s="1"/>
  <c r="C63" i="64"/>
  <c r="H12" i="64" s="1"/>
  <c r="D94" i="16"/>
  <c r="C103" i="16"/>
  <c r="M11" i="58"/>
  <c r="G15" i="58"/>
  <c r="H11" i="45" s="1"/>
  <c r="F12" i="25" s="1"/>
  <c r="I237" i="10"/>
  <c r="G12" i="17"/>
  <c r="H9" i="49" s="1"/>
  <c r="L10" i="25" s="1"/>
  <c r="C62" i="17"/>
  <c r="H12" i="17" s="1"/>
  <c r="H16" i="21"/>
  <c r="F48" i="9"/>
  <c r="D68" i="9" s="1"/>
  <c r="E70" i="9" s="1"/>
  <c r="C80" i="9" s="1"/>
  <c r="G60" i="18"/>
  <c r="C114" i="51"/>
  <c r="H14" i="51" s="1"/>
  <c r="E55" i="40"/>
  <c r="C64" i="40" s="1"/>
  <c r="C65" i="40" s="1"/>
  <c r="D58" i="67"/>
  <c r="C68" i="67" s="1"/>
  <c r="P238" i="10"/>
  <c r="S238" i="10" s="1"/>
  <c r="U238" i="10" s="1"/>
  <c r="AF122" i="40"/>
  <c r="AC123" i="40"/>
  <c r="AC118" i="40"/>
  <c r="AC119" i="40"/>
  <c r="AB119" i="40"/>
  <c r="AB121" i="40"/>
  <c r="H7" i="50"/>
  <c r="G17" i="36"/>
  <c r="M12" i="36"/>
  <c r="H5" i="49"/>
  <c r="L6" i="25" s="1"/>
  <c r="N12" i="21"/>
  <c r="O236" i="10"/>
  <c r="Z123" i="40"/>
  <c r="AH123" i="40" s="1"/>
  <c r="J123" i="40" s="1"/>
  <c r="W120" i="40"/>
  <c r="Z120" i="40"/>
  <c r="H12" i="81"/>
  <c r="L12" i="81" s="1"/>
  <c r="C75" i="81"/>
  <c r="I12" i="81" s="1"/>
  <c r="I13" i="81" s="1"/>
  <c r="G13" i="62"/>
  <c r="M13" i="62" s="1"/>
  <c r="C95" i="62"/>
  <c r="H13" i="62" s="1"/>
  <c r="H15" i="62" s="1"/>
  <c r="D105" i="67"/>
  <c r="G16" i="96"/>
  <c r="M16" i="96" s="1"/>
  <c r="C208" i="96"/>
  <c r="H16" i="96" s="1"/>
  <c r="AF120" i="40"/>
  <c r="AC121" i="40"/>
  <c r="Z122" i="40"/>
  <c r="AH122" i="40" s="1"/>
  <c r="J122" i="40" s="1"/>
  <c r="Y118" i="40"/>
  <c r="AH118" i="40" s="1"/>
  <c r="J118" i="40" s="1"/>
  <c r="Y120" i="40"/>
  <c r="AF121" i="40"/>
  <c r="G14" i="26"/>
  <c r="AA118" i="40"/>
  <c r="C116" i="36"/>
  <c r="H14" i="36" s="1"/>
  <c r="H17" i="36" s="1"/>
  <c r="D46" i="91"/>
  <c r="C56" i="91" s="1"/>
  <c r="J82" i="31"/>
  <c r="H82" i="31"/>
  <c r="F82" i="31"/>
  <c r="D82" i="31"/>
  <c r="E84" i="31" s="1"/>
  <c r="C94" i="31" s="1"/>
  <c r="C95" i="31" s="1"/>
  <c r="C119" i="18"/>
  <c r="H13" i="18" s="1"/>
  <c r="G13" i="18"/>
  <c r="M13" i="18" s="1"/>
  <c r="G15" i="62"/>
  <c r="H10" i="50" s="1"/>
  <c r="L32" i="25" s="1"/>
  <c r="M11" i="62"/>
  <c r="H24" i="10"/>
  <c r="O21" i="10"/>
  <c r="Z121" i="40"/>
  <c r="AH121" i="40" s="1"/>
  <c r="J121" i="40" s="1"/>
  <c r="H13" i="81"/>
  <c r="H9" i="41" s="1"/>
  <c r="L11" i="81"/>
  <c r="C82" i="51"/>
  <c r="H13" i="51" s="1"/>
  <c r="H15" i="51" s="1"/>
  <c r="G13" i="51"/>
  <c r="Z119" i="40"/>
  <c r="AH119" i="40" s="1"/>
  <c r="J119" i="40" s="1"/>
  <c r="D248" i="7"/>
  <c r="C258" i="7" s="1"/>
  <c r="C259" i="7" s="1"/>
  <c r="D49" i="10"/>
  <c r="D93" i="30"/>
  <c r="C108" i="30" s="1"/>
  <c r="D176" i="7"/>
  <c r="C186" i="7" s="1"/>
  <c r="X49" i="39"/>
  <c r="T59" i="39"/>
  <c r="W59" i="39" s="1"/>
  <c r="Y59" i="39" s="1"/>
  <c r="S59" i="39"/>
  <c r="V59" i="39" s="1"/>
  <c r="X59" i="39" s="1"/>
  <c r="G12" i="96"/>
  <c r="C59" i="96"/>
  <c r="H12" i="96" s="1"/>
  <c r="H17" i="96" s="1"/>
  <c r="C130" i="96"/>
  <c r="H14" i="96" s="1"/>
  <c r="G14" i="96"/>
  <c r="M14" i="96" s="1"/>
  <c r="D83" i="10"/>
  <c r="D55" i="24"/>
  <c r="C65" i="24" s="1"/>
  <c r="H60" i="18"/>
  <c r="F62" i="18" s="1"/>
  <c r="C72" i="18" s="1"/>
  <c r="T48" i="39"/>
  <c r="W48" i="39" s="1"/>
  <c r="Y48" i="39" s="1"/>
  <c r="S48" i="39"/>
  <c r="V48" i="39" s="1"/>
  <c r="X48" i="39" s="1"/>
  <c r="X43" i="39"/>
  <c r="Y56" i="39"/>
  <c r="Y55" i="39"/>
  <c r="Z55" i="39"/>
  <c r="N55" i="39"/>
  <c r="L55" i="39"/>
  <c r="D107" i="29"/>
  <c r="C133" i="29" s="1"/>
  <c r="C36" i="95"/>
  <c r="H12" i="95" s="1"/>
  <c r="G12" i="95"/>
  <c r="H6" i="52" s="1"/>
  <c r="H18" i="10"/>
  <c r="H6" i="45"/>
  <c r="F7" i="25" s="1"/>
  <c r="G54" i="7"/>
  <c r="D56" i="7" s="1"/>
  <c r="L60" i="39"/>
  <c r="N60" i="39"/>
  <c r="Z60" i="39"/>
  <c r="X56" i="39"/>
  <c r="G13" i="96"/>
  <c r="M13" i="96" s="1"/>
  <c r="C94" i="96"/>
  <c r="H13" i="96" s="1"/>
  <c r="C172" i="96"/>
  <c r="H15" i="96" s="1"/>
  <c r="G15" i="96"/>
  <c r="M15" i="96" s="1"/>
  <c r="L43" i="39"/>
  <c r="L44" i="39"/>
  <c r="L45" i="39"/>
  <c r="L46" i="39"/>
  <c r="L47" i="39"/>
  <c r="Z58" i="39"/>
  <c r="T57" i="39"/>
  <c r="W57" i="39" s="1"/>
  <c r="Y57" i="39" s="1"/>
  <c r="L57" i="39"/>
  <c r="C49" i="32"/>
  <c r="H12" i="32" s="1"/>
  <c r="G12" i="32"/>
  <c r="H10" i="49" s="1"/>
  <c r="C77" i="61"/>
  <c r="H12" i="61" s="1"/>
  <c r="G12" i="61"/>
  <c r="H7" i="46" s="1"/>
  <c r="F28" i="25" s="1"/>
  <c r="G12" i="65"/>
  <c r="H9" i="46" s="1"/>
  <c r="F30" i="25" s="1"/>
  <c r="C67" i="65"/>
  <c r="H12" i="65" s="1"/>
  <c r="C73" i="60"/>
  <c r="H12" i="60" s="1"/>
  <c r="G12" i="60"/>
  <c r="H6" i="46" s="1"/>
  <c r="C63" i="66"/>
  <c r="H12" i="66" s="1"/>
  <c r="G12" i="66"/>
  <c r="H10" i="46" s="1"/>
  <c r="F31" i="25" s="1"/>
  <c r="G14" i="29" l="1"/>
  <c r="C134" i="29"/>
  <c r="H14" i="29" s="1"/>
  <c r="H15" i="29" s="1"/>
  <c r="C81" i="9"/>
  <c r="H12" i="9" s="1"/>
  <c r="G12" i="9"/>
  <c r="H8" i="49" s="1"/>
  <c r="L9" i="25" s="1"/>
  <c r="G12" i="18"/>
  <c r="C73" i="18"/>
  <c r="H12" i="18" s="1"/>
  <c r="H14" i="18" s="1"/>
  <c r="G62" i="18"/>
  <c r="G15" i="51"/>
  <c r="H8" i="50" s="1"/>
  <c r="L29" i="25" s="1"/>
  <c r="M13" i="51"/>
  <c r="F20" i="25"/>
  <c r="F21" i="25" s="1"/>
  <c r="T7" i="57" s="1"/>
  <c r="H10" i="41"/>
  <c r="AH120" i="40"/>
  <c r="J120" i="40" s="1"/>
  <c r="J124" i="40" s="1"/>
  <c r="G11" i="67"/>
  <c r="C69" i="67"/>
  <c r="H11" i="67" s="1"/>
  <c r="H14" i="67" s="1"/>
  <c r="G13" i="16"/>
  <c r="G14" i="16" s="1"/>
  <c r="H7" i="49" s="1"/>
  <c r="L8" i="25" s="1"/>
  <c r="C104" i="16"/>
  <c r="H13" i="16" s="1"/>
  <c r="H14" i="16" s="1"/>
  <c r="I238" i="10"/>
  <c r="C57" i="91"/>
  <c r="H12" i="91" s="1"/>
  <c r="G12" i="91"/>
  <c r="H8" i="47" s="1"/>
  <c r="L19" i="25" s="1"/>
  <c r="N15" i="21"/>
  <c r="G16" i="21"/>
  <c r="H8" i="52"/>
  <c r="F36" i="25"/>
  <c r="F38" i="25" s="1"/>
  <c r="T12" i="57" s="1"/>
  <c r="G12" i="24"/>
  <c r="H7" i="47" s="1"/>
  <c r="L18" i="25" s="1"/>
  <c r="C66" i="24"/>
  <c r="H12" i="24" s="1"/>
  <c r="M12" i="96"/>
  <c r="G17" i="96"/>
  <c r="H9" i="47" s="1"/>
  <c r="L20" i="25" s="1"/>
  <c r="G16" i="7"/>
  <c r="C187" i="7"/>
  <c r="H16" i="7" s="1"/>
  <c r="H19" i="7" s="1"/>
  <c r="I236" i="10"/>
  <c r="D247" i="10" s="1"/>
  <c r="D248" i="10" s="1"/>
  <c r="R236" i="10"/>
  <c r="T236" i="10" s="1"/>
  <c r="C109" i="30"/>
  <c r="I12" i="30" s="1"/>
  <c r="H12" i="30"/>
  <c r="H6" i="47" s="1"/>
  <c r="L28" i="25"/>
  <c r="L33" i="25" s="1"/>
  <c r="T11" i="57" s="1"/>
  <c r="H11" i="50"/>
  <c r="L11" i="25"/>
  <c r="L14" i="25" s="1"/>
  <c r="T10" i="57" s="1"/>
  <c r="H13" i="49"/>
  <c r="F27" i="25"/>
  <c r="F33" i="25" s="1"/>
  <c r="H12" i="46"/>
  <c r="S19" i="57" l="1"/>
  <c r="S11" i="57"/>
  <c r="U11" i="57" s="1"/>
  <c r="S7" i="57"/>
  <c r="U7" i="57" s="1"/>
  <c r="S15" i="57"/>
  <c r="M11" i="67"/>
  <c r="G14" i="67"/>
  <c r="H12" i="47"/>
  <c r="L23" i="25" s="1"/>
  <c r="G14" i="18"/>
  <c r="H9" i="45" s="1"/>
  <c r="F10" i="25" s="1"/>
  <c r="M12" i="18"/>
  <c r="N14" i="29"/>
  <c r="H5" i="45"/>
  <c r="G15" i="29"/>
  <c r="H13" i="47"/>
  <c r="L17" i="25"/>
  <c r="L24" i="25" s="1"/>
  <c r="T9" i="57" s="1"/>
  <c r="L16" i="7"/>
  <c r="G19" i="7"/>
  <c r="H8" i="45" s="1"/>
  <c r="F9" i="25" s="1"/>
  <c r="S12" i="57"/>
  <c r="U12" i="57" s="1"/>
  <c r="S20" i="57"/>
  <c r="S18" i="57"/>
  <c r="S10" i="57"/>
  <c r="U10" i="57" s="1"/>
  <c r="T8" i="57"/>
  <c r="F6" i="25" l="1"/>
  <c r="F13" i="25" s="1"/>
  <c r="H12" i="45"/>
  <c r="S17" i="57"/>
  <c r="S9" i="57"/>
  <c r="U9" i="57" s="1"/>
  <c r="S16" i="57"/>
  <c r="S8" i="57"/>
  <c r="U8" i="57" s="1"/>
  <c r="T6" i="57" l="1"/>
  <c r="P32" i="25"/>
  <c r="S31" i="25" l="1"/>
  <c r="N6" i="57"/>
  <c r="S14" i="57"/>
  <c r="S6" i="57"/>
  <c r="U6" i="57" s="1"/>
  <c r="N7" i="57" l="1"/>
  <c r="O13" i="57"/>
  <c r="O15" i="57" s="1"/>
  <c r="G4"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xavier </author>
  </authors>
  <commentList>
    <comment ref="B30" authorId="0" shapeId="0" xr:uid="{00000000-0006-0000-0500-000001000000}">
      <text>
        <r>
          <rPr>
            <sz val="9"/>
            <color indexed="81"/>
            <rFont val="Tahoma"/>
            <family val="2"/>
          </rPr>
          <t>The GFA is the sum of the floor areas of a building at all floor levels. Parking areas are not to be included as GFA.</t>
        </r>
      </text>
    </comment>
    <comment ref="B33" authorId="0" shapeId="0" xr:uid="{00000000-0006-0000-0500-000002000000}">
      <text>
        <r>
          <rPr>
            <b/>
            <sz val="9"/>
            <color indexed="81"/>
            <rFont val="Tahoma"/>
            <family val="2"/>
          </rPr>
          <t>Full-time occupants</t>
        </r>
        <r>
          <rPr>
            <sz val="9"/>
            <color indexed="81"/>
            <rFont val="Tahoma"/>
            <family val="2"/>
          </rPr>
          <t xml:space="preserve"> are employees/staff in the building and their number should be calculated based on a daily occupancy of 8 hours. 
Part-time occupants should be given an equivalent ‘full-time occupants’ value based on the number of hours they spend in the building per day divided by 8.</t>
        </r>
      </text>
    </comment>
    <comment ref="B34" authorId="0" shapeId="0" xr:uid="{00000000-0006-0000-0500-000003000000}">
      <text>
        <r>
          <rPr>
            <sz val="9"/>
            <color indexed="81"/>
            <rFont val="Tahoma"/>
            <family val="2"/>
          </rPr>
          <t>The sum of the areas of all the occupied spaces of the project.
Occupied spaces are enclosed spaces that can accommodate human activities. They include work spaces (offices, meeting rooms, laboratories, etc.), event spaces (halls, sales areas, libraries, gyms, etc.), common areas (receptions, waiting rooms, lounges, lobbies, etc.), and learning spaces (classrooms). They exclude corridors, staircases, storage areas, toilets, changing facilities, IT equipment rooms and mechanical rooms.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Xav</author>
  </authors>
  <commentList>
    <comment ref="B114" authorId="0" shapeId="0" xr:uid="{00000000-0006-0000-1600-000001000000}">
      <text>
        <r>
          <rPr>
            <sz val="9"/>
            <color indexed="81"/>
            <rFont val="Tahoma"/>
            <family val="2"/>
          </rPr>
          <t>Monthly effective rainfall values calculated without using daily rainfall data.
If daily rainfall data is available, it is encouraged to override the values in the table.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xavier </author>
  </authors>
  <commentList>
    <comment ref="K40" authorId="0" shapeId="0" xr:uid="{00000000-0006-0000-2100-000001000000}">
      <text>
        <r>
          <rPr>
            <sz val="9"/>
            <color indexed="81"/>
            <rFont val="Tahoma"/>
            <family val="2"/>
          </rPr>
          <t>As completed in the Project Information sheet.</t>
        </r>
      </text>
    </comment>
  </commentList>
</comments>
</file>

<file path=xl/sharedStrings.xml><?xml version="1.0" encoding="utf-8"?>
<sst xmlns="http://schemas.openxmlformats.org/spreadsheetml/2006/main" count="6334" uniqueCount="2674">
  <si>
    <t>Local Environment</t>
  </si>
  <si>
    <t>LE-1 Site Selection</t>
  </si>
  <si>
    <t xml:space="preserve">LE-2 Site Design </t>
  </si>
  <si>
    <t>Yes</t>
  </si>
  <si>
    <t>LE-3 Vegetation</t>
  </si>
  <si>
    <t>LE-4 Heat Island Effect</t>
  </si>
  <si>
    <t>For 1 point, 30% of the paved and roof area limits the heat island effect 
For 2 points, 50% of the paved and roof area limits the heat island effect</t>
  </si>
  <si>
    <t>Prepare a local flood risk identification statement for the site
-AND-
Implement flood risk mitigation strategies if required</t>
  </si>
  <si>
    <t xml:space="preserve">For 1 point, Average perviousness of the site is at least 30% 
For 2 points, Average perviousness of the site is at least 50% </t>
  </si>
  <si>
    <t>No</t>
  </si>
  <si>
    <t>Perform an Eco-Charrette</t>
  </si>
  <si>
    <t>Health &amp; Comfort</t>
  </si>
  <si>
    <t>H-1 Fresh Air Supply</t>
  </si>
  <si>
    <t>H-2 Ventilation in Wet Areas</t>
  </si>
  <si>
    <t>H-3 Hazardous Materials</t>
  </si>
  <si>
    <t>Performance Path</t>
  </si>
  <si>
    <t>Prescriptive Path</t>
  </si>
  <si>
    <t>E-1 Passive Design</t>
  </si>
  <si>
    <t>E-2 Building Envelope</t>
  </si>
  <si>
    <t>Strategy A: Natural cooling</t>
  </si>
  <si>
    <t>Strategy B: Mechanical cooling with air-conditioning system</t>
  </si>
  <si>
    <t>E-4 Artificial Lighting</t>
  </si>
  <si>
    <t>Results</t>
  </si>
  <si>
    <t>Calculations</t>
  </si>
  <si>
    <r>
      <t>Gross Lighted Floor Area  (m</t>
    </r>
    <r>
      <rPr>
        <vertAlign val="superscript"/>
        <sz val="10"/>
        <color theme="0"/>
        <rFont val="Arial"/>
        <family val="2"/>
      </rPr>
      <t>2</t>
    </r>
    <r>
      <rPr>
        <sz val="10"/>
        <color theme="0"/>
        <rFont val="Arial"/>
        <family val="2"/>
      </rPr>
      <t>)</t>
    </r>
  </si>
  <si>
    <t>Light fixture type</t>
  </si>
  <si>
    <t>Quantity</t>
  </si>
  <si>
    <t>Individual Power (W)</t>
  </si>
  <si>
    <t>Additional power (W)</t>
  </si>
  <si>
    <t>Total power (W)</t>
  </si>
  <si>
    <t>Details</t>
  </si>
  <si>
    <t>Water</t>
  </si>
  <si>
    <t>W-1 Water Efficient Fixtures</t>
  </si>
  <si>
    <t>W-2 Water Efficient Landscaping</t>
  </si>
  <si>
    <t>COP improvement compared to the VBEEC (%)</t>
  </si>
  <si>
    <t>% of the paved and roof area that limits heat island effect</t>
  </si>
  <si>
    <t>slope</t>
  </si>
  <si>
    <t>low slope</t>
  </si>
  <si>
    <r>
      <t>Area covered with mechanical equipment (m</t>
    </r>
    <r>
      <rPr>
        <vertAlign val="superscript"/>
        <sz val="10"/>
        <color theme="0"/>
        <rFont val="Arial"/>
        <family val="2"/>
      </rPr>
      <t>2</t>
    </r>
    <r>
      <rPr>
        <sz val="10"/>
        <color theme="0"/>
        <rFont val="Arial"/>
        <family val="2"/>
      </rPr>
      <t>)</t>
    </r>
  </si>
  <si>
    <t>Surface type</t>
  </si>
  <si>
    <r>
      <t>Area (m</t>
    </r>
    <r>
      <rPr>
        <vertAlign val="superscript"/>
        <sz val="10"/>
        <color indexed="9"/>
        <rFont val="Arial"/>
        <family val="2"/>
      </rPr>
      <t>2</t>
    </r>
    <r>
      <rPr>
        <sz val="10"/>
        <color indexed="9"/>
        <rFont val="Arial"/>
        <family val="2"/>
      </rPr>
      <t>)</t>
    </r>
  </si>
  <si>
    <t xml:space="preserve">Slope of the roof </t>
  </si>
  <si>
    <t>Limit heat island effect?</t>
  </si>
  <si>
    <r>
      <t>Compliant area (m</t>
    </r>
    <r>
      <rPr>
        <vertAlign val="superscript"/>
        <sz val="10"/>
        <color indexed="9"/>
        <rFont val="Arial"/>
        <family val="2"/>
      </rPr>
      <t>2</t>
    </r>
    <r>
      <rPr>
        <sz val="10"/>
        <color indexed="9"/>
        <rFont val="Arial"/>
        <family val="2"/>
      </rPr>
      <t>)</t>
    </r>
  </si>
  <si>
    <t>Limit roof</t>
  </si>
  <si>
    <t>Green roof</t>
  </si>
  <si>
    <t>Solar panels</t>
  </si>
  <si>
    <t>Limit paving</t>
  </si>
  <si>
    <t>Building Envelope</t>
  </si>
  <si>
    <t xml:space="preserve">WWR on east and west facades (%) </t>
  </si>
  <si>
    <t xml:space="preserve">Average SHGC of glazing </t>
  </si>
  <si>
    <t>Project information</t>
  </si>
  <si>
    <t>LOTUS Homes Scorecard</t>
  </si>
  <si>
    <t>Points</t>
  </si>
  <si>
    <t>Energy</t>
  </si>
  <si>
    <t>Passive Design</t>
  </si>
  <si>
    <t>M-1</t>
  </si>
  <si>
    <t>LE-1</t>
  </si>
  <si>
    <t>Site Selection</t>
  </si>
  <si>
    <t>E-1</t>
  </si>
  <si>
    <t>M-2</t>
  </si>
  <si>
    <t>LE-2</t>
  </si>
  <si>
    <t xml:space="preserve">Site Design </t>
  </si>
  <si>
    <t>E-2</t>
  </si>
  <si>
    <t>M-3</t>
  </si>
  <si>
    <t>LE-3</t>
  </si>
  <si>
    <t>Heat Island Effect</t>
  </si>
  <si>
    <t>E-3</t>
  </si>
  <si>
    <t>M-4</t>
  </si>
  <si>
    <t>LE-4</t>
  </si>
  <si>
    <t>E-4</t>
  </si>
  <si>
    <t>Artificial Lighting</t>
  </si>
  <si>
    <t>M-5</t>
  </si>
  <si>
    <t>LE-5</t>
  </si>
  <si>
    <t>E-5</t>
  </si>
  <si>
    <t>Energy Efficient Appliances</t>
  </si>
  <si>
    <t>BPC</t>
  </si>
  <si>
    <t>LE-6</t>
  </si>
  <si>
    <t>E-6</t>
  </si>
  <si>
    <t>Total</t>
  </si>
  <si>
    <t>H-1</t>
  </si>
  <si>
    <t>Fresh Air Supply</t>
  </si>
  <si>
    <t>H-2</t>
  </si>
  <si>
    <t>Ventilation in wet areas</t>
  </si>
  <si>
    <t>Design Management</t>
  </si>
  <si>
    <t>W-1</t>
  </si>
  <si>
    <t>Water Efficient Fixtures</t>
  </si>
  <si>
    <t>H-3</t>
  </si>
  <si>
    <t>Hazardous Materials</t>
  </si>
  <si>
    <t>Construction Management</t>
  </si>
  <si>
    <t>W-2</t>
  </si>
  <si>
    <t>Water Efficient Landscaping</t>
  </si>
  <si>
    <t>H-4</t>
  </si>
  <si>
    <t>Operational Management</t>
  </si>
  <si>
    <t>W-3</t>
  </si>
  <si>
    <t>Daylighting</t>
  </si>
  <si>
    <t>E-6 Energy Efficient Appliances</t>
  </si>
  <si>
    <t>E-5 Domestic water heating</t>
  </si>
  <si>
    <r>
      <rPr>
        <b/>
        <sz val="11"/>
        <rFont val="Arial"/>
        <family val="2"/>
      </rPr>
      <t>Option B: Heat pump water heating</t>
    </r>
    <r>
      <rPr>
        <sz val="11"/>
        <rFont val="Arial"/>
        <family val="2"/>
      </rPr>
      <t xml:space="preserve">
Heat pump water heater produces all the domestic hot water consumption</t>
    </r>
  </si>
  <si>
    <t>E-7</t>
  </si>
  <si>
    <t>Refrigerants</t>
  </si>
  <si>
    <t>Design Stage</t>
  </si>
  <si>
    <t>Inn-1</t>
  </si>
  <si>
    <t>Inn-2</t>
  </si>
  <si>
    <t>Innovative Techniques / Initiatives</t>
  </si>
  <si>
    <t>Number of floors</t>
  </si>
  <si>
    <r>
      <rPr>
        <b/>
        <sz val="11"/>
        <rFont val="Arial"/>
        <family val="2"/>
      </rPr>
      <t>Strategy B: SHGC values of glazing</t>
    </r>
    <r>
      <rPr>
        <sz val="11"/>
        <rFont val="Arial"/>
        <family val="2"/>
      </rPr>
      <t xml:space="preserve">
For 1 point, SHGC values of glazing are 10% lower than VBEEC requirements. 
For 2 points, SHGC values of glazing are 20% lower than VBEEC requirements.</t>
    </r>
  </si>
  <si>
    <t>COP required by VBEEC</t>
  </si>
  <si>
    <t>Types</t>
  </si>
  <si>
    <t>Type</t>
  </si>
  <si>
    <t xml:space="preserve">Unitary air-conditioner </t>
  </si>
  <si>
    <t xml:space="preserve">Split air-conditioner </t>
  </si>
  <si>
    <t>Cooling output</t>
  </si>
  <si>
    <r>
      <rPr>
        <b/>
        <sz val="11"/>
        <rFont val="Arial"/>
        <family val="2"/>
      </rPr>
      <t>Strategy C: Solar radiation on opaque surfaces</t>
    </r>
    <r>
      <rPr>
        <sz val="11"/>
        <rFont val="Arial"/>
        <family val="2"/>
      </rPr>
      <t xml:space="preserve">
Implement strategies to reduce the solar radiation absorbed by opaque surfaces.</t>
    </r>
  </si>
  <si>
    <t>LE-7 Refrigerants</t>
  </si>
  <si>
    <t>Brand</t>
  </si>
  <si>
    <t>Air-conditioning unit model</t>
  </si>
  <si>
    <t>Rated Electric Power Input (kW)</t>
  </si>
  <si>
    <t>air-cooled air-conditioner</t>
  </si>
  <si>
    <r>
      <t>³</t>
    </r>
    <r>
      <rPr>
        <sz val="10"/>
        <color theme="1"/>
        <rFont val="Arial"/>
        <family val="2"/>
      </rPr>
      <t xml:space="preserve"> 19 kW to &lt; 40 kW</t>
    </r>
  </si>
  <si>
    <r>
      <t>³</t>
    </r>
    <r>
      <rPr>
        <sz val="10"/>
        <color theme="1"/>
        <rFont val="Arial"/>
        <family val="2"/>
      </rPr>
      <t xml:space="preserve"> 40 kW to &lt; 70 kW</t>
    </r>
  </si>
  <si>
    <t>/</t>
  </si>
  <si>
    <t>&lt; 19 kW</t>
  </si>
  <si>
    <r>
      <t>&gt;=</t>
    </r>
    <r>
      <rPr>
        <sz val="10"/>
        <color theme="1"/>
        <rFont val="Arial"/>
        <family val="2"/>
      </rPr>
      <t xml:space="preserve"> 70 kW</t>
    </r>
  </si>
  <si>
    <t>Select</t>
  </si>
  <si>
    <t xml:space="preserve">E-7 Energy Monitors </t>
  </si>
  <si>
    <t>LE-7</t>
  </si>
  <si>
    <t>Vegetation</t>
  </si>
  <si>
    <t xml:space="preserve">Minimise the use of hazardous materials for paints and coatings  </t>
  </si>
  <si>
    <t>Minimise the use of hazardous materials for adhesives and sealants</t>
  </si>
  <si>
    <t>Minimise the use of hazardous materials for flooring systems</t>
  </si>
  <si>
    <t>Minimise the use of hazardous materials for fitted furniture</t>
  </si>
  <si>
    <t>H-4 Daylighting</t>
  </si>
  <si>
    <t>Stormwater Runoff</t>
  </si>
  <si>
    <r>
      <rPr>
        <b/>
        <sz val="11"/>
        <rFont val="Arial"/>
        <family val="2"/>
      </rPr>
      <t>Strategy B: Building footprint</t>
    </r>
    <r>
      <rPr>
        <sz val="11"/>
        <rFont val="Arial"/>
        <family val="2"/>
      </rPr>
      <t xml:space="preserve">
Reduce the building footprint to provide 20% of the site area as undeveloped area.</t>
    </r>
  </si>
  <si>
    <t>CM-3 Operational Management</t>
  </si>
  <si>
    <t>CM-2 Construction Management</t>
  </si>
  <si>
    <t>CM-1 Design Stage</t>
  </si>
  <si>
    <t>Community &amp; Management</t>
  </si>
  <si>
    <t>CM-1</t>
  </si>
  <si>
    <t>CM-2</t>
  </si>
  <si>
    <t>CM-3</t>
  </si>
  <si>
    <t>U-value reduction compared to VBEEC (%)</t>
  </si>
  <si>
    <r>
      <rPr>
        <b/>
        <sz val="11"/>
        <rFont val="Arial"/>
        <family val="2"/>
      </rPr>
      <t>Strategy B: Demolition and construction waste</t>
    </r>
    <r>
      <rPr>
        <sz val="11"/>
        <rFont val="Arial"/>
        <family val="2"/>
      </rPr>
      <t xml:space="preserve">
Implement strategies to minimise demolition and construction waste </t>
    </r>
  </si>
  <si>
    <r>
      <rPr>
        <b/>
        <sz val="11"/>
        <rFont val="Arial"/>
        <family val="2"/>
      </rPr>
      <t>Strategy C: Construction noise</t>
    </r>
    <r>
      <rPr>
        <sz val="11"/>
        <rFont val="Arial"/>
        <family val="2"/>
      </rPr>
      <t xml:space="preserve">
Implement adequate mitigation measures to limit construction noise</t>
    </r>
  </si>
  <si>
    <r>
      <rPr>
        <b/>
        <sz val="11"/>
        <rFont val="Arial"/>
        <family val="2"/>
      </rPr>
      <t>Strategy E: Construction Worker Management</t>
    </r>
    <r>
      <rPr>
        <sz val="11"/>
        <rFont val="Arial"/>
        <family val="2"/>
      </rPr>
      <t xml:space="preserve">
Implement a Construction Worker Management Plan </t>
    </r>
  </si>
  <si>
    <t>% of vegetated site</t>
  </si>
  <si>
    <t>Type of vegetation</t>
  </si>
  <si>
    <r>
      <t>Total site area (m</t>
    </r>
    <r>
      <rPr>
        <vertAlign val="superscript"/>
        <sz val="10"/>
        <color theme="0"/>
        <rFont val="Arial"/>
        <family val="2"/>
      </rPr>
      <t>2</t>
    </r>
    <r>
      <rPr>
        <sz val="10"/>
        <color theme="0"/>
        <rFont val="Arial"/>
        <family val="2"/>
      </rPr>
      <t>)</t>
    </r>
  </si>
  <si>
    <t>Site area</t>
  </si>
  <si>
    <t>Innovation</t>
  </si>
  <si>
    <t>Available</t>
  </si>
  <si>
    <t>Points available</t>
  </si>
  <si>
    <t>For 1 point, reduce the amount of domestic water used for landscaping by 50% compared to benchmark consumption
For 2 points, reduce the amount of domestic water used for landscaping by 80% compared to benchmark consumption</t>
  </si>
  <si>
    <t>Drinking Water</t>
  </si>
  <si>
    <t>LE-8</t>
  </si>
  <si>
    <t>LE-8 Waste Management</t>
  </si>
  <si>
    <r>
      <rPr>
        <b/>
        <sz val="11"/>
        <rFont val="Arial"/>
        <family val="2"/>
      </rPr>
      <t>Strategy D: Neighbourhood Impact Plan</t>
    </r>
    <r>
      <rPr>
        <sz val="11"/>
        <rFont val="Arial"/>
        <family val="2"/>
      </rPr>
      <t xml:space="preserve">
Implement adequate measures to reduce construction impacts on neighbouring properties</t>
    </r>
  </si>
  <si>
    <t>Appliance type</t>
  </si>
  <si>
    <t>Rated Power (W)</t>
  </si>
  <si>
    <t>Energy efficiency label?</t>
  </si>
  <si>
    <r>
      <t>P</t>
    </r>
    <r>
      <rPr>
        <vertAlign val="subscript"/>
        <sz val="10"/>
        <color indexed="9"/>
        <rFont val="Arial"/>
        <family val="2"/>
      </rPr>
      <t>T</t>
    </r>
    <r>
      <rPr>
        <sz val="10"/>
        <color indexed="9"/>
        <rFont val="Arial"/>
        <family val="2"/>
      </rPr>
      <t xml:space="preserve"> (W)</t>
    </r>
  </si>
  <si>
    <r>
      <t>P</t>
    </r>
    <r>
      <rPr>
        <vertAlign val="subscript"/>
        <sz val="10"/>
        <color indexed="9"/>
        <rFont val="Arial"/>
        <family val="2"/>
      </rPr>
      <t>EE</t>
    </r>
    <r>
      <rPr>
        <sz val="10"/>
        <color indexed="9"/>
        <rFont val="Arial"/>
        <family val="2"/>
      </rPr>
      <t xml:space="preserve"> (W)</t>
    </r>
  </si>
  <si>
    <t>Install low flow shower heads</t>
  </si>
  <si>
    <t>Install low flow kitchen and bathroom taps</t>
  </si>
  <si>
    <t>Flush Type</t>
  </si>
  <si>
    <t>Low Flush</t>
  </si>
  <si>
    <t>Full Flush</t>
  </si>
  <si>
    <r>
      <rPr>
        <sz val="12"/>
        <color indexed="9"/>
        <rFont val="Arial"/>
        <family val="2"/>
      </rPr>
      <t>Water Closet</t>
    </r>
    <r>
      <rPr>
        <sz val="11"/>
        <color indexed="9"/>
        <rFont val="Arial"/>
        <family val="2"/>
      </rPr>
      <t xml:space="preserve">                    </t>
    </r>
  </si>
  <si>
    <t>Flowrate
[L/s]</t>
  </si>
  <si>
    <t>Maximum flushrate [Lpf]</t>
  </si>
  <si>
    <t>Maximum flowrate [Lps]</t>
  </si>
  <si>
    <t>Compliant?</t>
  </si>
  <si>
    <t>Fixture Name</t>
  </si>
  <si>
    <t>Number of stars under VNEEP labelling</t>
  </si>
  <si>
    <t>Equipped with inverter?</t>
  </si>
  <si>
    <t>COP of the unit</t>
  </si>
  <si>
    <t>Credit Requirements</t>
  </si>
  <si>
    <t>Criteria</t>
  </si>
  <si>
    <t>SRI higher than 29</t>
  </si>
  <si>
    <t>Shading devices with SRI higher than 29</t>
  </si>
  <si>
    <t>Open grid pavement</t>
  </si>
  <si>
    <t xml:space="preserve">Shading from trees </t>
  </si>
  <si>
    <t>Shading devices with SRI higher than 30</t>
  </si>
  <si>
    <t>Shading devices with SRI higher than 31</t>
  </si>
  <si>
    <t>Shading devices with SRI higher than 33</t>
  </si>
  <si>
    <t>Submissions</t>
  </si>
  <si>
    <r>
      <rPr>
        <b/>
        <sz val="10"/>
        <rFont val="Arial"/>
        <family val="2"/>
      </rPr>
      <t xml:space="preserve">Strategy B: Infill or redevelopment site </t>
    </r>
    <r>
      <rPr>
        <sz val="10"/>
        <rFont val="Arial"/>
        <family val="2"/>
      </rPr>
      <t xml:space="preserve">
Locate building on an infill or a redevelopment site</t>
    </r>
  </si>
  <si>
    <t>Strategy B: Infill or redevelopment site</t>
  </si>
  <si>
    <t>If YES is answered for at least one of the 2 questions below, the site can be considered as an infill or a redevelopment site</t>
  </si>
  <si>
    <t>Submit all the documentation listed below:</t>
  </si>
  <si>
    <t>Location</t>
  </si>
  <si>
    <t>Performance Path Criteria</t>
  </si>
  <si>
    <t>Prescriptive Path Criteria</t>
  </si>
  <si>
    <t>Prescriptive Path Results</t>
  </si>
  <si>
    <t>Introduction</t>
  </si>
  <si>
    <t>Materials</t>
  </si>
  <si>
    <t>H-2 Ventilation in wet areas</t>
  </si>
  <si>
    <t>This credit applies to all the following rooms in the building:</t>
  </si>
  <si>
    <r>
      <rPr>
        <sz val="10"/>
        <rFont val="Calibri"/>
        <family val="2"/>
      </rPr>
      <t>•</t>
    </r>
    <r>
      <rPr>
        <sz val="10"/>
        <rFont val="Arial"/>
        <family val="2"/>
      </rPr>
      <t xml:space="preserve"> bathrooms (any room containing a bathtub, shower, spa, or similar source of moisture); and</t>
    </r>
  </si>
  <si>
    <r>
      <rPr>
        <sz val="10"/>
        <rFont val="Calibri"/>
        <family val="2"/>
      </rPr>
      <t>•</t>
    </r>
    <r>
      <rPr>
        <sz val="10"/>
        <rFont val="Arial"/>
        <family val="2"/>
      </rPr>
      <t xml:space="preserve"> toilets (a space containing one or more water closets or urinals).</t>
    </r>
  </si>
  <si>
    <t>Kitchen rooms</t>
  </si>
  <si>
    <t>Minimum capacity of exhaust fans (L/s)</t>
  </si>
  <si>
    <t>Other Wet rooms</t>
  </si>
  <si>
    <t>Room type</t>
  </si>
  <si>
    <t>Capacity of exhaust fan installed (L/s)</t>
  </si>
  <si>
    <t>Extra requirement met?</t>
  </si>
  <si>
    <t>Extra requirement</t>
  </si>
  <si>
    <t>All wet areas compliant?</t>
  </si>
  <si>
    <t>Possible points</t>
  </si>
  <si>
    <t>Total Points</t>
  </si>
  <si>
    <t>LE-2 Site design</t>
  </si>
  <si>
    <t>Type of paint / coating</t>
  </si>
  <si>
    <t>Product Name</t>
  </si>
  <si>
    <t>VOC content limit
[g/L]</t>
  </si>
  <si>
    <t>All paints and coatings compliant?</t>
  </si>
  <si>
    <r>
      <rPr>
        <b/>
        <sz val="10"/>
        <rFont val="Arial"/>
        <family val="2"/>
      </rPr>
      <t>Strategy B: Building Orientation</t>
    </r>
    <r>
      <rPr>
        <sz val="10"/>
        <rFont val="Arial"/>
        <family val="2"/>
      </rPr>
      <t xml:space="preserve">
For 1 point, east façade area + west façade area / total façade area ≤ 40 %
For 2 points, east façade area + west façade area / total façade area ≤ 20 %</t>
    </r>
  </si>
  <si>
    <r>
      <rPr>
        <b/>
        <sz val="10"/>
        <rFont val="Arial"/>
        <family val="2"/>
      </rPr>
      <t>Strategy C: Window-to-wall ratio</t>
    </r>
    <r>
      <rPr>
        <sz val="10"/>
        <rFont val="Arial"/>
        <family val="2"/>
      </rPr>
      <t xml:space="preserve">
For 1 point, Window to Wall Ratio of the West and East facing facades lower than 30%
For 2 points, Window to Wall Ratio of the West and East facing facades lower than 15%</t>
    </r>
  </si>
  <si>
    <r>
      <rPr>
        <b/>
        <sz val="10"/>
        <rFont val="Arial"/>
        <family val="2"/>
      </rPr>
      <t>Strategy D: Shading devices</t>
    </r>
    <r>
      <rPr>
        <sz val="10"/>
        <rFont val="Arial"/>
        <family val="2"/>
      </rPr>
      <t xml:space="preserve">
1 point for meeting each of the following requirements: 
- For north and south orientations, install horizontal overhangs that achieves a value of A coefficient higher than 1.3 (according to Table 2.4 of VBEEC)
- For east and west orientations, install full-height louvered screen (with horizontal or vertical fins) on all windows.</t>
    </r>
  </si>
  <si>
    <t>East and west facades area [%]</t>
  </si>
  <si>
    <t>Strategy A: Building Orientation</t>
  </si>
  <si>
    <t>Strategy B: Window-to-wall ratio</t>
  </si>
  <si>
    <t>Strategy C: Shading devices</t>
  </si>
  <si>
    <t>Type of adhesive / sealant</t>
  </si>
  <si>
    <t>All adhesives and sealants compliant?</t>
  </si>
  <si>
    <t>Performance and prescriptive paths</t>
  </si>
  <si>
    <t>Options and strategies</t>
  </si>
  <si>
    <t>Best practice credits</t>
  </si>
  <si>
    <r>
      <rPr>
        <b/>
        <sz val="11"/>
        <rFont val="Arial"/>
        <family val="2"/>
      </rPr>
      <t>Strategy C: Solar radiation through windows</t>
    </r>
    <r>
      <rPr>
        <sz val="11"/>
        <rFont val="Arial"/>
        <family val="2"/>
      </rPr>
      <t xml:space="preserve">
All the glazing systems installed are any or any combination of the following: 
solar control glasses or low solar heat gain low-E double glazing windows</t>
    </r>
  </si>
  <si>
    <r>
      <rPr>
        <b/>
        <sz val="11"/>
        <rFont val="Arial"/>
        <family val="2"/>
      </rPr>
      <t>Strategy D: Solar radiation on opaque surfaces</t>
    </r>
    <r>
      <rPr>
        <sz val="11"/>
        <rFont val="Arial"/>
        <family val="2"/>
      </rPr>
      <t xml:space="preserve">
Implement strategies to reduce the solar radiation absorbed by opaque surfaces.</t>
    </r>
  </si>
  <si>
    <r>
      <rPr>
        <b/>
        <sz val="11"/>
        <rFont val="Arial"/>
        <family val="2"/>
      </rPr>
      <t>Strategy B: U-values of roofs</t>
    </r>
    <r>
      <rPr>
        <sz val="11"/>
        <rFont val="Arial"/>
        <family val="2"/>
      </rPr>
      <t xml:space="preserve">
All the roofs are made with any or any combination of the following: 
An air layer of at least 40mm, a layer of insulation material with a thickness of at least 40mm, a fixed sunshade, a green roof or equivalent.</t>
    </r>
  </si>
  <si>
    <r>
      <rPr>
        <b/>
        <sz val="11"/>
        <rFont val="Arial"/>
        <family val="2"/>
      </rPr>
      <t>Strategy A: U-values of walls</t>
    </r>
    <r>
      <rPr>
        <sz val="11"/>
        <rFont val="Arial"/>
        <family val="2"/>
      </rPr>
      <t xml:space="preserve">
All the external walls are made with any or any combination of the following: 
AAC blocks, a layer of insulation material with a thickness of at least 40mm, lightweight hollow blocks or equivalent.</t>
    </r>
  </si>
  <si>
    <t>Select the compliance path pursued:</t>
  </si>
  <si>
    <t xml:space="preserve">LE-5 Storm Water Runoff </t>
  </si>
  <si>
    <t xml:space="preserve">Flood Risk Mitigation  </t>
  </si>
  <si>
    <t>LE-6 Flood Risk Mitigation</t>
  </si>
  <si>
    <t>LE-5 Storm Water Runoff</t>
  </si>
  <si>
    <r>
      <t>Roof area (m</t>
    </r>
    <r>
      <rPr>
        <vertAlign val="superscript"/>
        <sz val="10"/>
        <color theme="0"/>
        <rFont val="Arial"/>
        <family val="2"/>
      </rPr>
      <t>2</t>
    </r>
    <r>
      <rPr>
        <sz val="10"/>
        <color theme="0"/>
        <rFont val="Arial"/>
        <family val="2"/>
      </rPr>
      <t>)</t>
    </r>
  </si>
  <si>
    <r>
      <t>Paved area (m</t>
    </r>
    <r>
      <rPr>
        <vertAlign val="superscript"/>
        <sz val="10"/>
        <color theme="0"/>
        <rFont val="Arial"/>
        <family val="2"/>
      </rPr>
      <t>2</t>
    </r>
    <r>
      <rPr>
        <sz val="10"/>
        <color theme="0"/>
        <rFont val="Arial"/>
        <family val="2"/>
      </rPr>
      <t>)</t>
    </r>
  </si>
  <si>
    <r>
      <rPr>
        <b/>
        <sz val="10"/>
        <rFont val="Arial"/>
        <family val="2"/>
      </rPr>
      <t>Strategy A: U-values of walls and roof</t>
    </r>
    <r>
      <rPr>
        <sz val="10"/>
        <rFont val="Arial"/>
        <family val="2"/>
      </rPr>
      <t xml:space="preserve">
For 1 point, Average U-value of the walls and roof are 20% lower than VBEEC requirements. 
For 2 points, Average U-value of the walls and roof are 40% lower than VBEEC requirements.</t>
    </r>
  </si>
  <si>
    <r>
      <rPr>
        <b/>
        <sz val="10"/>
        <rFont val="Arial"/>
        <family val="2"/>
      </rPr>
      <t>Strategy B: SHGC values of glazing</t>
    </r>
    <r>
      <rPr>
        <sz val="10"/>
        <rFont val="Arial"/>
        <family val="2"/>
      </rPr>
      <t xml:space="preserve">
For 1 point, SHGC values of glazing are 10% lower than VBEEC requirements. 
For 2 points, SHGC values of glazing are 20% lower than VBEEC requirements.</t>
    </r>
  </si>
  <si>
    <t>Light fixture model</t>
  </si>
  <si>
    <t>luminous efficacy (lm/W)</t>
  </si>
  <si>
    <t>Select the option pursued:</t>
  </si>
  <si>
    <t xml:space="preserve">W-3 Drinking Water </t>
  </si>
  <si>
    <t>Approach &amp; Implementation</t>
  </si>
  <si>
    <t>The Eco-Charrette took place:</t>
  </si>
  <si>
    <t>Date</t>
  </si>
  <si>
    <t>With the following participants:</t>
  </si>
  <si>
    <t>Name</t>
  </si>
  <si>
    <t>Position</t>
  </si>
  <si>
    <t>Eco-Charrette compliant?</t>
  </si>
  <si>
    <r>
      <rPr>
        <b/>
        <sz val="10"/>
        <rFont val="Arial"/>
        <family val="2"/>
      </rPr>
      <t>Strategy A: Stormwater pollution prevention, erosion and sediment control</t>
    </r>
    <r>
      <rPr>
        <sz val="10"/>
        <rFont val="Arial"/>
        <family val="2"/>
      </rPr>
      <t xml:space="preserve">
Implement best practices for stormwater pollution, erosion and sediment control.</t>
    </r>
  </si>
  <si>
    <r>
      <rPr>
        <b/>
        <sz val="10"/>
        <rFont val="Arial"/>
        <family val="2"/>
      </rPr>
      <t>Strategy B: Demolition and construction waste</t>
    </r>
    <r>
      <rPr>
        <sz val="10"/>
        <rFont val="Arial"/>
        <family val="2"/>
      </rPr>
      <t xml:space="preserve">
Implement strategies to minimise demolition and construction waste </t>
    </r>
  </si>
  <si>
    <r>
      <rPr>
        <b/>
        <sz val="10"/>
        <rFont val="Arial"/>
        <family val="2"/>
      </rPr>
      <t>Strategy D: Neighbourhood Impact Plan</t>
    </r>
    <r>
      <rPr>
        <sz val="10"/>
        <rFont val="Arial"/>
        <family val="2"/>
      </rPr>
      <t xml:space="preserve">
Implement adequate measures to reduce construction impacts on neighbouring properties</t>
    </r>
  </si>
  <si>
    <r>
      <rPr>
        <b/>
        <sz val="10"/>
        <rFont val="Arial"/>
        <family val="2"/>
      </rPr>
      <t>Strategy E: Construction Worker Management</t>
    </r>
    <r>
      <rPr>
        <sz val="10"/>
        <rFont val="Arial"/>
        <family val="2"/>
      </rPr>
      <t xml:space="preserve">
Implement a Construction Worker Management Plan </t>
    </r>
  </si>
  <si>
    <r>
      <rPr>
        <b/>
        <sz val="10"/>
        <rFont val="Arial"/>
        <family val="2"/>
      </rPr>
      <t>Strategy C: Construction noise</t>
    </r>
    <r>
      <rPr>
        <sz val="10"/>
        <rFont val="Arial"/>
        <family val="2"/>
      </rPr>
      <t xml:space="preserve">
Implement adequate mitigation measures to limit construction noise</t>
    </r>
  </si>
  <si>
    <t>Strategy A: Stormwater pollution prevention, erosion and sediment control</t>
  </si>
  <si>
    <t>Measures implemented</t>
  </si>
  <si>
    <t>Strategy B: Demolition and construction waste</t>
  </si>
  <si>
    <t>Compliant energy monitor?</t>
  </si>
  <si>
    <t>Project owner name</t>
  </si>
  <si>
    <t>Project Name</t>
  </si>
  <si>
    <t xml:space="preserve">Project Address </t>
  </si>
  <si>
    <t>Project type</t>
  </si>
  <si>
    <t>TOTAL</t>
  </si>
  <si>
    <t>Inn-1 Exceptional Performance Enhancement</t>
  </si>
  <si>
    <t>Inn-2 Innovative Techniques/Initiatives</t>
  </si>
  <si>
    <t>All the following types of appliances and equipment should be considered in the credit:
Washing machines, Refrigerators and freezers, Dishwashers, Fans, Televisions, Computers (desktops and laptops), Displays (computer monitors), and Rice cookers</t>
  </si>
  <si>
    <t>• Energy Star</t>
  </si>
  <si>
    <t>• VNEEP energy label with 4 or 5 stars</t>
  </si>
  <si>
    <t>• European Union Energy Label with class A label or better</t>
  </si>
  <si>
    <t>• EMSD (Hong Kong) Energy Efficiency Labelling Scheme with Grade 1 or Grade 2 labels</t>
  </si>
  <si>
    <t>• EMSD’s Voluntary Energy Efficiency Labelling Scheme with Recognition type label</t>
  </si>
  <si>
    <t>• Australian Energy Rating Label Program with 3 stars or higher for Appliances that carry an energy label</t>
  </si>
  <si>
    <t>• Australian Energy Rating Label Program MEPS for Products registered for MEPS.</t>
  </si>
  <si>
    <t>For 1 point, reduce domestic water consumption through fixtures by 20% in comparison to a baseline model 
1 point for every additional 5% reduction of the domestic water consumption through fixtures</t>
  </si>
  <si>
    <t>Type of product</t>
  </si>
  <si>
    <t>Strategy C: Mass transit Transport</t>
  </si>
  <si>
    <t>Mass transit service</t>
  </si>
  <si>
    <t>Mass transit services include: (proposed) metro stations and existing bus stops</t>
  </si>
  <si>
    <t xml:space="preserve">Strategy D: Community Connectivity </t>
  </si>
  <si>
    <t>Distance from site
[meters]</t>
  </si>
  <si>
    <t xml:space="preserve">Bank </t>
  </si>
  <si>
    <t xml:space="preserve">Name of the service </t>
  </si>
  <si>
    <t>Strategies to increase the site perviousness include:</t>
  </si>
  <si>
    <t>• Minimise hardscape areas</t>
  </si>
  <si>
    <t>• Landscaping that diverts water from impervious areas to pervious areas, such as gardens and lawns</t>
  </si>
  <si>
    <t>• Use of vegetated swales, biofiltration swales, wetlands, dry wells and rain gardens</t>
  </si>
  <si>
    <t>• Retention and detention ponds</t>
  </si>
  <si>
    <t>• Green roof</t>
  </si>
  <si>
    <r>
      <t>Building footprint (m</t>
    </r>
    <r>
      <rPr>
        <vertAlign val="superscript"/>
        <sz val="10"/>
        <color theme="0"/>
        <rFont val="Arial"/>
        <family val="2"/>
      </rPr>
      <t>2</t>
    </r>
    <r>
      <rPr>
        <sz val="10"/>
        <color theme="0"/>
        <rFont val="Arial"/>
        <family val="2"/>
      </rPr>
      <t>)</t>
    </r>
  </si>
  <si>
    <r>
      <t>Green roof (m</t>
    </r>
    <r>
      <rPr>
        <vertAlign val="superscript"/>
        <sz val="10"/>
        <color theme="0"/>
        <rFont val="Arial"/>
        <family val="2"/>
      </rPr>
      <t>2</t>
    </r>
    <r>
      <rPr>
        <sz val="10"/>
        <color theme="0"/>
        <rFont val="Arial"/>
        <family val="2"/>
      </rPr>
      <t>)</t>
    </r>
  </si>
  <si>
    <t>Run-off coefficient of covering material</t>
  </si>
  <si>
    <r>
      <t>Pervious area (m</t>
    </r>
    <r>
      <rPr>
        <vertAlign val="superscript"/>
        <sz val="10"/>
        <color indexed="9"/>
        <rFont val="Arial"/>
        <family val="2"/>
      </rPr>
      <t>2</t>
    </r>
    <r>
      <rPr>
        <sz val="10"/>
        <color indexed="9"/>
        <rFont val="Arial"/>
        <family val="2"/>
      </rPr>
      <t>)</t>
    </r>
  </si>
  <si>
    <t>Site Perviousness [%]</t>
  </si>
  <si>
    <t>Resources</t>
  </si>
  <si>
    <t>A ‘local flood risk identification statement’ can be a simple one page document added to the architectural plan set.</t>
  </si>
  <si>
    <t>If a flood map is not available, a location plan identifying possible sources of water inundation must be provided.</t>
  </si>
  <si>
    <t>• Elevate buildings above the predicted flood level by piers, piles, columns or bearing walls</t>
  </si>
  <si>
    <t>• Flood-proof the lower levels of buildings by sealing them against water penetration</t>
  </si>
  <si>
    <t>• Employ wet flood-proofing methods</t>
  </si>
  <si>
    <t>• Arrange all mechanical and electrical equipment in water-tight units or higher than the highest predicted flood level in the building</t>
  </si>
  <si>
    <t>• Install water resistant and easy-to-clean materials for lower floors</t>
  </si>
  <si>
    <t>Strategy B: Building footprint</t>
  </si>
  <si>
    <t>LE-2 Site Design</t>
  </si>
  <si>
    <t>•  Site area</t>
  </si>
  <si>
    <t>•  Adjoining development</t>
  </si>
  <si>
    <t>•  Existing structures on the site</t>
  </si>
  <si>
    <t>•  Existing site entry and exit points</t>
  </si>
  <si>
    <t>•  Existing vegetation to be retained</t>
  </si>
  <si>
    <t>•  Existing vegetation to be removed</t>
  </si>
  <si>
    <t>•  Topography</t>
  </si>
  <si>
    <t>•  North Point</t>
  </si>
  <si>
    <t>•  Significant view corridors</t>
  </si>
  <si>
    <t>•  Any prevailing winds</t>
  </si>
  <si>
    <r>
      <rPr>
        <b/>
        <sz val="10"/>
        <rFont val="Arial"/>
        <family val="2"/>
      </rPr>
      <t>Strategy A: Site Analysis</t>
    </r>
    <r>
      <rPr>
        <sz val="10"/>
        <rFont val="Arial"/>
        <family val="2"/>
      </rPr>
      <t xml:space="preserve">
Provide a Site Analysis considering local environmental conditions such as sunlight, prevailing winds, topography and existing vegetation.</t>
    </r>
  </si>
  <si>
    <t xml:space="preserve">Strategy A: Site Analysis </t>
  </si>
  <si>
    <t>Site orientation</t>
  </si>
  <si>
    <t>Existing development to the east</t>
  </si>
  <si>
    <t>Existing development to the north</t>
  </si>
  <si>
    <t>Existing development to the west</t>
  </si>
  <si>
    <t>Existing development to the south</t>
  </si>
  <si>
    <t>Describe existing structures on site</t>
  </si>
  <si>
    <t>Topography</t>
  </si>
  <si>
    <t>Describe existing views</t>
  </si>
  <si>
    <t xml:space="preserve">North </t>
  </si>
  <si>
    <t xml:space="preserve">Major road </t>
  </si>
  <si>
    <t>Existing development</t>
  </si>
  <si>
    <t xml:space="preserve">Minor road </t>
  </si>
  <si>
    <t xml:space="preserve">House up to 3 storeys </t>
  </si>
  <si>
    <t xml:space="preserve">Terrace house greater than 3 storeys </t>
  </si>
  <si>
    <t xml:space="preserve">Shop </t>
  </si>
  <si>
    <t>Office building</t>
  </si>
  <si>
    <t xml:space="preserve">Block of flats </t>
  </si>
  <si>
    <t xml:space="preserve">River </t>
  </si>
  <si>
    <t xml:space="preserve">Park </t>
  </si>
  <si>
    <t>Empty lot</t>
  </si>
  <si>
    <t xml:space="preserve">Land is flat </t>
  </si>
  <si>
    <t xml:space="preserve">Slope front to rear </t>
  </si>
  <si>
    <t xml:space="preserve">Slope rear to front </t>
  </si>
  <si>
    <t>Centre highest point</t>
  </si>
  <si>
    <t xml:space="preserve">Slope across site </t>
  </si>
  <si>
    <t xml:space="preserve">North east </t>
  </si>
  <si>
    <t>East</t>
  </si>
  <si>
    <t xml:space="preserve">South east  </t>
  </si>
  <si>
    <t xml:space="preserve">South </t>
  </si>
  <si>
    <t>South west</t>
  </si>
  <si>
    <t xml:space="preserve">West </t>
  </si>
  <si>
    <t>North west</t>
  </si>
  <si>
    <t>Daily Design Water Use (L)</t>
  </si>
  <si>
    <t>Daily Baseline Water Use (L)</t>
  </si>
  <si>
    <t>Credit requirements</t>
  </si>
  <si>
    <t>Heat pump water heating system</t>
  </si>
  <si>
    <t>Equipment Type</t>
  </si>
  <si>
    <t>VBEEC requirement on
COP</t>
  </si>
  <si>
    <t>COP value of the system</t>
  </si>
  <si>
    <t>Air-heated heat pumps</t>
  </si>
  <si>
    <t>Water-heated heat pumps</t>
  </si>
  <si>
    <t>Heat recovery air conditioners</t>
  </si>
  <si>
    <t>Minimum COP</t>
  </si>
  <si>
    <t>Heat recovery AC - Hot water supply only</t>
  </si>
  <si>
    <t>Heat recovery AC - AC and hot water supply</t>
  </si>
  <si>
    <t>Credit</t>
  </si>
  <si>
    <t>Available points</t>
  </si>
  <si>
    <t>Best Practice Credits</t>
  </si>
  <si>
    <t>E-3 Home Cooling</t>
  </si>
  <si>
    <t>Option A: Solar water heating</t>
  </si>
  <si>
    <t>Does the filtration system contain filters that can remove the following ?</t>
  </si>
  <si>
    <t xml:space="preserve">• heavy metals  </t>
  </si>
  <si>
    <t xml:space="preserve">• chlorine </t>
  </si>
  <si>
    <t>Filter type</t>
  </si>
  <si>
    <t>• bacteria</t>
  </si>
  <si>
    <t xml:space="preserve">• dust, particles, and rust  </t>
  </si>
  <si>
    <t>Tân Sơn Nhất</t>
  </si>
  <si>
    <t>AVERAGE MONTHLY RAINFALL</t>
  </si>
  <si>
    <t>Source: Vietnam Building Code - Natural Physical &amp; Climatic Data for Construction (QCVN 02:2009/BXD)</t>
  </si>
  <si>
    <t>January</t>
  </si>
  <si>
    <t>February</t>
  </si>
  <si>
    <t>March</t>
  </si>
  <si>
    <t>April</t>
  </si>
  <si>
    <t>May</t>
  </si>
  <si>
    <t>June</t>
  </si>
  <si>
    <t>July</t>
  </si>
  <si>
    <t>August</t>
  </si>
  <si>
    <t>September</t>
  </si>
  <si>
    <t>October</t>
  </si>
  <si>
    <t>November</t>
  </si>
  <si>
    <t>December</t>
  </si>
  <si>
    <t>Total Year</t>
  </si>
  <si>
    <t>Ba Vì</t>
  </si>
  <si>
    <t>Bắc Giang</t>
  </si>
  <si>
    <t>Bắc Kạn</t>
  </si>
  <si>
    <t>BuônMaThuật</t>
  </si>
  <si>
    <t>Cà Mau</t>
  </si>
  <si>
    <t>Cam Ranh</t>
  </si>
  <si>
    <t>Cần Thơ</t>
  </si>
  <si>
    <t xml:space="preserve">Càng Long </t>
  </si>
  <si>
    <t>Cao Bằng</t>
  </si>
  <si>
    <t>Cao Lãnh</t>
  </si>
  <si>
    <t>Chấu Đốc</t>
  </si>
  <si>
    <t>Côn Sơn</t>
  </si>
  <si>
    <t>Cửa Ông</t>
  </si>
  <si>
    <t>Đà Lạt</t>
  </si>
  <si>
    <t>Đà Nẵng</t>
  </si>
  <si>
    <t>Điện Biên</t>
  </si>
  <si>
    <t xml:space="preserve">Đông Hà </t>
  </si>
  <si>
    <t>Đồng Hới</t>
  </si>
  <si>
    <t>Hà Đông</t>
  </si>
  <si>
    <t>Hà Giang</t>
  </si>
  <si>
    <t>Hà Nội</t>
  </si>
  <si>
    <t>Hà Tĩnh</t>
  </si>
  <si>
    <t>Hải Dương</t>
  </si>
  <si>
    <t>Hoà Bình</t>
  </si>
  <si>
    <t>Hoàng Sa</t>
  </si>
  <si>
    <t>Hòn Gai</t>
  </si>
  <si>
    <t>Huế</t>
  </si>
  <si>
    <t>Hưng Yên</t>
  </si>
  <si>
    <t>Kon Tum</t>
  </si>
  <si>
    <t>Lai Châu</t>
  </si>
  <si>
    <t>Lạng Sơn</t>
  </si>
  <si>
    <t>Lào Cai</t>
  </si>
  <si>
    <t>Mộc Hoá</t>
  </si>
  <si>
    <t>Mỹ Tho</t>
  </si>
  <si>
    <t>Nam Định</t>
  </si>
  <si>
    <t>Nha Trang</t>
  </si>
  <si>
    <t>Ninh Bình</t>
  </si>
  <si>
    <t>Phan Thiết</t>
  </si>
  <si>
    <t>Phủ Liễn</t>
  </si>
  <si>
    <t>Phú Quốc</t>
  </si>
  <si>
    <t>Phước Long</t>
  </si>
  <si>
    <t>Plâycu</t>
  </si>
  <si>
    <t>Quảng Ngãi</t>
  </si>
  <si>
    <t>Quy Nhơn</t>
  </si>
  <si>
    <t>Rạch Giá</t>
  </si>
  <si>
    <t>Sa Pa</t>
  </si>
  <si>
    <t>Sóc Trăng</t>
  </si>
  <si>
    <t>Sơn La</t>
  </si>
  <si>
    <t>Sơn Tây</t>
  </si>
  <si>
    <t>Tam Đảo</t>
  </si>
  <si>
    <t>Tây Ninh</t>
  </si>
  <si>
    <t>Thái Bình</t>
  </si>
  <si>
    <t>Thái Nguyên</t>
  </si>
  <si>
    <t>Thanh Hóa</t>
  </si>
  <si>
    <t>Trường Sa</t>
  </si>
  <si>
    <t>Tuy Hòa</t>
  </si>
  <si>
    <t>Tuyên Quang</t>
  </si>
  <si>
    <t>Uông Bí</t>
  </si>
  <si>
    <t>Việt Trì</t>
  </si>
  <si>
    <t>Vinh</t>
  </si>
  <si>
    <t>Vĩnh Yên</t>
  </si>
  <si>
    <t>Vũng Tàu</t>
  </si>
  <si>
    <t>Yên Bái</t>
  </si>
  <si>
    <t>AVERAGE MONTHLY NUMBER OF RAINY DAYS</t>
  </si>
  <si>
    <r>
      <t>Annual Effective Rainfall E</t>
    </r>
    <r>
      <rPr>
        <vertAlign val="subscript"/>
        <sz val="14"/>
        <color indexed="9"/>
        <rFont val="Arial"/>
        <family val="2"/>
      </rPr>
      <t>rain</t>
    </r>
  </si>
  <si>
    <t>Calculated with above values and using the following formula:</t>
  </si>
  <si>
    <r>
      <t>Monthly Reference Evapotranspiration ET</t>
    </r>
    <r>
      <rPr>
        <vertAlign val="subscript"/>
        <sz val="14"/>
        <color indexed="9"/>
        <rFont val="Arial"/>
        <family val="2"/>
      </rPr>
      <t>0</t>
    </r>
  </si>
  <si>
    <r>
      <rPr>
        <sz val="11"/>
        <rFont val="Calibri"/>
        <family val="2"/>
      </rPr>
      <t xml:space="preserve">Source: </t>
    </r>
    <r>
      <rPr>
        <u/>
        <sz val="11"/>
        <color theme="10"/>
        <rFont val="Calibri"/>
        <family val="2"/>
      </rPr>
      <t>http://www.ifpri.org/sites/default/files/publications/ifpridp01248.pdf</t>
    </r>
  </si>
  <si>
    <t>RRD</t>
  </si>
  <si>
    <t>MRD</t>
  </si>
  <si>
    <t>NE</t>
  </si>
  <si>
    <t>NW</t>
  </si>
  <si>
    <t>SCC</t>
  </si>
  <si>
    <t>NCC</t>
  </si>
  <si>
    <t>CHL</t>
  </si>
  <si>
    <t>SE</t>
  </si>
  <si>
    <t xml:space="preserve">MRD </t>
  </si>
  <si>
    <t xml:space="preserve">SE </t>
  </si>
  <si>
    <r>
      <t>Average ET</t>
    </r>
    <r>
      <rPr>
        <vertAlign val="subscript"/>
        <sz val="10"/>
        <color indexed="9"/>
        <rFont val="Arial"/>
        <family val="2"/>
      </rPr>
      <t>0</t>
    </r>
    <r>
      <rPr>
        <sz val="10"/>
        <color indexed="9"/>
        <rFont val="Arial"/>
        <family val="2"/>
      </rPr>
      <t xml:space="preserve">  / Total E</t>
    </r>
    <r>
      <rPr>
        <vertAlign val="subscript"/>
        <sz val="10"/>
        <color indexed="9"/>
        <rFont val="Arial"/>
        <family val="2"/>
      </rPr>
      <t>rain</t>
    </r>
    <r>
      <rPr>
        <sz val="10"/>
        <color indexed="9"/>
        <rFont val="Arial"/>
        <family val="2"/>
      </rPr>
      <t xml:space="preserve"> </t>
    </r>
  </si>
  <si>
    <r>
      <t>ET</t>
    </r>
    <r>
      <rPr>
        <vertAlign val="subscript"/>
        <sz val="10"/>
        <color indexed="9"/>
        <rFont val="Arial"/>
        <family val="2"/>
      </rPr>
      <t xml:space="preserve">0 </t>
    </r>
    <r>
      <rPr>
        <sz val="10"/>
        <color indexed="9"/>
        <rFont val="Arial"/>
        <family val="2"/>
      </rPr>
      <t>(mm/month)</t>
    </r>
  </si>
  <si>
    <r>
      <t>E</t>
    </r>
    <r>
      <rPr>
        <vertAlign val="subscript"/>
        <sz val="10"/>
        <color indexed="9"/>
        <rFont val="Arial"/>
        <family val="2"/>
      </rPr>
      <t xml:space="preserve">rain </t>
    </r>
    <r>
      <rPr>
        <sz val="10"/>
        <color indexed="9"/>
        <rFont val="Arial"/>
        <family val="2"/>
      </rPr>
      <t>(mm/month)</t>
    </r>
  </si>
  <si>
    <r>
      <t>Override values for E</t>
    </r>
    <r>
      <rPr>
        <vertAlign val="subscript"/>
        <sz val="10"/>
        <color indexed="9"/>
        <rFont val="Arial"/>
        <family val="2"/>
      </rPr>
      <t xml:space="preserve">rain </t>
    </r>
    <r>
      <rPr>
        <sz val="10"/>
        <color indexed="9"/>
        <rFont val="Arial"/>
        <family val="2"/>
      </rPr>
      <t>(mm/month)</t>
    </r>
  </si>
  <si>
    <t>Vegetation Type</t>
  </si>
  <si>
    <r>
      <t>Landscape Area (m</t>
    </r>
    <r>
      <rPr>
        <vertAlign val="superscript"/>
        <sz val="10"/>
        <color rgb="FFFFFFFF"/>
        <rFont val="Arial"/>
        <family val="2"/>
      </rPr>
      <t>2</t>
    </r>
    <r>
      <rPr>
        <sz val="10"/>
        <color rgb="FFFFFFFF"/>
        <rFont val="Arial"/>
        <family val="2"/>
      </rPr>
      <t>)</t>
    </r>
  </si>
  <si>
    <t>Species Factor (Ks)</t>
  </si>
  <si>
    <t xml:space="preserve">Density Factor (Kd) </t>
  </si>
  <si>
    <t>Microclimate Factor (Km)</t>
  </si>
  <si>
    <t xml:space="preserve">Irrigation Efficiency (IE) </t>
  </si>
  <si>
    <t>% of landscape area sheltered from rainfall</t>
  </si>
  <si>
    <r>
      <t>Annual Irrigation Demand (m</t>
    </r>
    <r>
      <rPr>
        <vertAlign val="superscript"/>
        <sz val="10"/>
        <color rgb="FFFFFFFF"/>
        <rFont val="Arial"/>
        <family val="2"/>
      </rPr>
      <t>3</t>
    </r>
    <r>
      <rPr>
        <sz val="10"/>
        <color rgb="FFFFFFFF"/>
        <rFont val="Arial"/>
        <family val="2"/>
      </rPr>
      <t>)</t>
    </r>
  </si>
  <si>
    <r>
      <t>Average value of irrigation demand (m</t>
    </r>
    <r>
      <rPr>
        <vertAlign val="superscript"/>
        <sz val="11"/>
        <color indexed="9"/>
        <rFont val="Arial"/>
        <family val="2"/>
      </rPr>
      <t>3</t>
    </r>
    <r>
      <rPr>
        <sz val="11"/>
        <color indexed="9"/>
        <rFont val="Arial"/>
        <family val="2"/>
      </rPr>
      <t>/m</t>
    </r>
    <r>
      <rPr>
        <vertAlign val="superscript"/>
        <sz val="11"/>
        <color indexed="9"/>
        <rFont val="Arial"/>
        <family val="2"/>
      </rPr>
      <t>2</t>
    </r>
    <r>
      <rPr>
        <sz val="11"/>
        <color indexed="9"/>
        <rFont val="Arial"/>
        <family val="2"/>
      </rPr>
      <t>/year)</t>
    </r>
  </si>
  <si>
    <t>Irrigation Demand Reduction [%]</t>
  </si>
  <si>
    <t>1. General</t>
  </si>
  <si>
    <t>uncertified</t>
  </si>
  <si>
    <t>certified</t>
  </si>
  <si>
    <t>silver</t>
  </si>
  <si>
    <t>gold</t>
  </si>
  <si>
    <t>platinum</t>
  </si>
  <si>
    <t>Ventilation exhaust type</t>
  </si>
  <si>
    <t>H&amp;C</t>
  </si>
  <si>
    <t>LE</t>
  </si>
  <si>
    <t>C&amp;M</t>
  </si>
  <si>
    <t>Ready to submit?</t>
  </si>
  <si>
    <t xml:space="preserve">Points </t>
  </si>
  <si>
    <t>Rated power (W)</t>
  </si>
  <si>
    <t>Lumen output (lm)</t>
  </si>
  <si>
    <t>Appliance name</t>
  </si>
  <si>
    <t>Option B: Heat pump water heating</t>
  </si>
  <si>
    <t>→ The system should have a COP value higher than VBEEC requirements</t>
  </si>
  <si>
    <t>Energy efficiency of the Heat pump water heating system:</t>
  </si>
  <si>
    <t>Average COP:</t>
  </si>
  <si>
    <t>Average:</t>
  </si>
  <si>
    <r>
      <t>Lighting Power Density (W/m</t>
    </r>
    <r>
      <rPr>
        <vertAlign val="superscript"/>
        <sz val="11"/>
        <color theme="0"/>
        <rFont val="Arial"/>
        <family val="2"/>
      </rPr>
      <t>2</t>
    </r>
    <r>
      <rPr>
        <sz val="11"/>
        <color theme="0"/>
        <rFont val="Arial"/>
        <family val="2"/>
      </rPr>
      <t>)</t>
    </r>
  </si>
  <si>
    <t>Pourcentage of appliances installed with an energy efficiency label</t>
  </si>
  <si>
    <t>Click on the links on the right to navigate to other Water credits</t>
  </si>
  <si>
    <t>Click on the links on the right to navigate to other Energy credits</t>
  </si>
  <si>
    <r>
      <t>³</t>
    </r>
    <r>
      <rPr>
        <sz val="10"/>
        <color theme="1"/>
        <rFont val="Arial"/>
        <family val="2"/>
      </rPr>
      <t xml:space="preserve"> 7 kW and &lt; 14 kW</t>
    </r>
  </si>
  <si>
    <r>
      <t>³</t>
    </r>
    <r>
      <rPr>
        <sz val="10"/>
        <color theme="1"/>
        <rFont val="Arial"/>
        <family val="2"/>
      </rPr>
      <t xml:space="preserve"> 14 kW and &lt; 19 kW</t>
    </r>
  </si>
  <si>
    <t>&lt;4.5 kW</t>
  </si>
  <si>
    <t>&gt;= 19 kW to &lt; 40 kW</t>
  </si>
  <si>
    <r>
      <t xml:space="preserve">&gt;= </t>
    </r>
    <r>
      <rPr>
        <sz val="10"/>
        <color theme="1"/>
        <rFont val="Arial"/>
        <family val="2"/>
      </rPr>
      <t xml:space="preserve"> 40 kW to &lt; 70 kW</t>
    </r>
  </si>
  <si>
    <t>Cooling capacity
(kW)</t>
  </si>
  <si>
    <t>Click on the links on 
the right to navigate to 
other Energy credits</t>
  </si>
  <si>
    <t>Number of fans installed</t>
  </si>
  <si>
    <t>Prescriptive Path for Strategy A</t>
  </si>
  <si>
    <t>Performance Path for Strategy A</t>
  </si>
  <si>
    <t>Performance Path for Strategy B</t>
  </si>
  <si>
    <t>Click on the links on 
the right to navigate to 
other LE credits</t>
  </si>
  <si>
    <t>lightweight hollow blocks</t>
  </si>
  <si>
    <t>AAC blocks</t>
  </si>
  <si>
    <t>a green roof</t>
  </si>
  <si>
    <t>Pre-assessment stage</t>
  </si>
  <si>
    <r>
      <rPr>
        <b/>
        <sz val="10"/>
        <rFont val="Arial"/>
        <family val="2"/>
      </rPr>
      <t>Strategy A: Vegetated Area in outdoor garden</t>
    </r>
    <r>
      <rPr>
        <sz val="10"/>
        <rFont val="Arial"/>
        <family val="2"/>
      </rPr>
      <t xml:space="preserve">
For 1 point, 15% of the total site area is vegetated with native or adapted vegetation 
For 2 points, 30% of the total site area is vegetated with native or adapted vegetation </t>
    </r>
  </si>
  <si>
    <t>Strategy A: Vegetated Area in outdoor garden</t>
  </si>
  <si>
    <t>Strategy B: Pot Plants</t>
  </si>
  <si>
    <t>Type of plant</t>
  </si>
  <si>
    <t>Width of the pot 
(mm)</t>
  </si>
  <si>
    <t>Strategy A: U-values of walls and roof</t>
  </si>
  <si>
    <t>Strategy B: SHGC values of glazing</t>
  </si>
  <si>
    <t>other materials</t>
  </si>
  <si>
    <t>Mechanically ventilated spaces are spaces where a mechanical ventilation system directly supplies fresh air into the space.</t>
  </si>
  <si>
    <t>Ventilation Type</t>
  </si>
  <si>
    <t>List and area of openings to the outdoors</t>
  </si>
  <si>
    <t>Strategy A: Paints and coatings</t>
  </si>
  <si>
    <t>Strategy B: Adhesives and sealants</t>
  </si>
  <si>
    <t>Strategy C: Construction noise</t>
  </si>
  <si>
    <t>Strategy D: Neighbourhood Impact Plan</t>
  </si>
  <si>
    <t>Strategy E: Construction Worker Management</t>
  </si>
  <si>
    <t>Implement a Construction Noise Mitigation Strategy with adequate mitigation measures to limit construction noise</t>
  </si>
  <si>
    <r>
      <rPr>
        <sz val="10"/>
        <rFont val="Calibri"/>
        <family val="2"/>
      </rPr>
      <t>•</t>
    </r>
    <r>
      <rPr>
        <sz val="10"/>
        <rFont val="Arial"/>
        <family val="2"/>
      </rPr>
      <t xml:space="preserve"> Identification of noise sensitive locations</t>
    </r>
  </si>
  <si>
    <t>List of noise sensitive locations</t>
  </si>
  <si>
    <r>
      <rPr>
        <sz val="10"/>
        <rFont val="Calibri"/>
        <family val="2"/>
      </rPr>
      <t>•</t>
    </r>
    <r>
      <rPr>
        <sz val="10"/>
        <rFont val="Arial"/>
        <family val="2"/>
      </rPr>
      <t xml:space="preserve"> Identification of high impact construction practices</t>
    </r>
  </si>
  <si>
    <t>List of high impact construction practices</t>
  </si>
  <si>
    <t>List of measures implemented</t>
  </si>
  <si>
    <t>Compliant Construction Noise Mitigation Strategy ?</t>
  </si>
  <si>
    <t>Compliant Neighbourhood Impact Plan?</t>
  </si>
  <si>
    <t>Compliant Construction Worker Management Plan?</t>
  </si>
  <si>
    <t>This manual should be a folder or a jacket including the documents with necessary information for the operation and maintenance of the building</t>
  </si>
  <si>
    <t>Compliant Building Operation &amp; Maintenance Manual?</t>
  </si>
  <si>
    <t>Description of the outcomes of the Eco-Charrette:</t>
  </si>
  <si>
    <t>Aim of the measure</t>
  </si>
  <si>
    <r>
      <rPr>
        <sz val="10"/>
        <rFont val="Calibri"/>
        <family val="2"/>
      </rPr>
      <t>•</t>
    </r>
    <r>
      <rPr>
        <sz val="10"/>
        <rFont val="Arial"/>
        <family val="2"/>
      </rPr>
      <t xml:space="preserve"> Identification and implementation of measures to reduce noise impact on sensitive receivers (at least 2 measures should be implemented)</t>
    </r>
  </si>
  <si>
    <t>Construction hours</t>
  </si>
  <si>
    <t>Total number of workers on site</t>
  </si>
  <si>
    <t>Location of rubbish and waste collection of workers</t>
  </si>
  <si>
    <t>Location of toilet facilities for workers</t>
  </si>
  <si>
    <t>Worker rest areas on site</t>
  </si>
  <si>
    <t>Implement a construction and demolition waste minimisation strategy</t>
  </si>
  <si>
    <t>Achieved</t>
  </si>
  <si>
    <t>Certification level</t>
  </si>
  <si>
    <t>Effective cross ventilation?</t>
  </si>
  <si>
    <t>Continuous air flow path?</t>
  </si>
  <si>
    <t>Window openings location?</t>
  </si>
  <si>
    <t>Distance between the openings (m)</t>
  </si>
  <si>
    <r>
      <rPr>
        <sz val="10"/>
        <rFont val="Calibri"/>
        <family val="2"/>
      </rPr>
      <t>•</t>
    </r>
    <r>
      <rPr>
        <sz val="10"/>
        <rFont val="Arial"/>
        <family val="2"/>
      </rPr>
      <t xml:space="preserve"> Storm water drainage to avoid water pollution</t>
    </r>
  </si>
  <si>
    <t>Potential disturbances during construction</t>
  </si>
  <si>
    <t>Compliant Stormwater pollution prevention, erosion control and sediment control?</t>
  </si>
  <si>
    <t>These measures should be implemented before the beginning of land disturbance.</t>
  </si>
  <si>
    <t>ee</t>
  </si>
  <si>
    <t>…</t>
  </si>
  <si>
    <t>Type of waste</t>
  </si>
  <si>
    <t>Disposal location</t>
  </si>
  <si>
    <t>Disposal option</t>
  </si>
  <si>
    <t>Compliant construction and demolition waste minimisation strategy?</t>
  </si>
  <si>
    <t>Strategies to reduce the generation of waste</t>
  </si>
  <si>
    <t xml:space="preserve">No documentation needs to be submitted for this strategy. </t>
  </si>
  <si>
    <t>At least 3 types of waste should be considered in the table below.</t>
  </si>
  <si>
    <t>Energy Best Practice Credits</t>
  </si>
  <si>
    <r>
      <rPr>
        <b/>
        <sz val="10"/>
        <rFont val="Arial"/>
        <family val="2"/>
      </rPr>
      <t>E-BPC-1 OTTV calculation</t>
    </r>
    <r>
      <rPr>
        <sz val="10"/>
        <rFont val="Arial"/>
        <family val="2"/>
      </rPr>
      <t xml:space="preserve">
Building’s average OTTV surpasses VBEEC requirements by 40%</t>
    </r>
  </si>
  <si>
    <t>Best Practice Credits Requirements</t>
  </si>
  <si>
    <t>E-BPC-1 OTTV calculation</t>
  </si>
  <si>
    <t>OTTV Improvement (%)</t>
  </si>
  <si>
    <t>E-BPC-2 Renewable Energy</t>
  </si>
  <si>
    <t>Total power output (kW)</t>
  </si>
  <si>
    <t>Energy control solution</t>
  </si>
  <si>
    <t>Compliant energy control solutions?</t>
  </si>
  <si>
    <t>Water Best Practice Credits</t>
  </si>
  <si>
    <t>Best Practice Credits requirements</t>
  </si>
  <si>
    <t>W-BPC-1 Rainwater Harvesting</t>
  </si>
  <si>
    <r>
      <rPr>
        <b/>
        <sz val="10"/>
        <rFont val="Arial"/>
        <family val="2"/>
      </rPr>
      <t>W-BPC-1 Rainwater Harvesting</t>
    </r>
    <r>
      <rPr>
        <sz val="10"/>
        <rFont val="Arial"/>
        <family val="2"/>
      </rPr>
      <t xml:space="preserve">
Install a rainwater harvesting system to catch rainwater falling on the roof</t>
    </r>
  </si>
  <si>
    <t>M-1 Building Structure</t>
  </si>
  <si>
    <t>M-6</t>
  </si>
  <si>
    <t>Select the unit used for the credit:</t>
  </si>
  <si>
    <t>The selected unit must be applied consistently for all materials throughout the calculations.</t>
  </si>
  <si>
    <r>
      <t>Area of the room (m</t>
    </r>
    <r>
      <rPr>
        <vertAlign val="superscript"/>
        <sz val="10"/>
        <color theme="0"/>
        <rFont val="Arial"/>
        <family val="2"/>
      </rPr>
      <t>2</t>
    </r>
    <r>
      <rPr>
        <sz val="10"/>
        <color theme="0"/>
        <rFont val="Arial"/>
        <family val="2"/>
      </rPr>
      <t>)</t>
    </r>
  </si>
  <si>
    <t>Maintenance factor</t>
  </si>
  <si>
    <t>Reflectance of room surfaces</t>
  </si>
  <si>
    <t>Breadth</t>
  </si>
  <si>
    <t>Height</t>
  </si>
  <si>
    <t>Ceiling</t>
  </si>
  <si>
    <t>Wall</t>
  </si>
  <si>
    <t>Floor</t>
  </si>
  <si>
    <r>
      <t>Room dimensions (m</t>
    </r>
    <r>
      <rPr>
        <sz val="10"/>
        <color theme="0"/>
        <rFont val="Arial"/>
        <family val="2"/>
      </rPr>
      <t>)</t>
    </r>
  </si>
  <si>
    <r>
      <t>Glazed area of windows (m</t>
    </r>
    <r>
      <rPr>
        <vertAlign val="superscript"/>
        <sz val="10"/>
        <color theme="0"/>
        <rFont val="Arial"/>
        <family val="2"/>
      </rPr>
      <t>2</t>
    </r>
    <r>
      <rPr>
        <sz val="10"/>
        <color theme="0"/>
        <rFont val="Arial"/>
        <family val="2"/>
      </rPr>
      <t>)</t>
    </r>
  </si>
  <si>
    <t>Angle of visible sky (degrees)</t>
  </si>
  <si>
    <t>Internal surface area of the space [m2]</t>
  </si>
  <si>
    <t>Average reflectance</t>
  </si>
  <si>
    <t>Length</t>
  </si>
  <si>
    <t>Compliant Area Percentage [%]</t>
  </si>
  <si>
    <r>
      <rPr>
        <sz val="12"/>
        <color indexed="9"/>
        <rFont val="Arial"/>
        <family val="2"/>
      </rPr>
      <t xml:space="preserve">Shower heads
</t>
    </r>
    <r>
      <rPr>
        <sz val="10"/>
        <color indexed="9"/>
        <rFont val="Arial"/>
        <family val="2"/>
      </rPr>
      <t>Fixture Name</t>
    </r>
  </si>
  <si>
    <t>Windows and doors</t>
  </si>
  <si>
    <t>Roofing materials</t>
  </si>
  <si>
    <t>Flooring materials</t>
  </si>
  <si>
    <t>Building Structure</t>
  </si>
  <si>
    <t>M-2 Non-structural walls &amp; ceilings</t>
  </si>
  <si>
    <t>M-3 Windows and doors</t>
  </si>
  <si>
    <t>M-4 Flooring materials</t>
  </si>
  <si>
    <t>M-5 Roofing materials</t>
  </si>
  <si>
    <t>M-6 Fitted Furniture</t>
  </si>
  <si>
    <t>Community &amp; Management Best Practice Credits</t>
  </si>
  <si>
    <r>
      <rPr>
        <b/>
        <sz val="10"/>
        <rFont val="Arial"/>
        <family val="2"/>
      </rPr>
      <t>CM-BPC-1 LOTUS AP</t>
    </r>
    <r>
      <rPr>
        <sz val="10"/>
        <rFont val="Arial"/>
        <family val="2"/>
      </rPr>
      <t xml:space="preserve">
Involve a LOTUS AP in the project team</t>
    </r>
  </si>
  <si>
    <t>CM-BPC-1 LOTUS AP</t>
  </si>
  <si>
    <t>W-BPC-2 Domestic Water reuse</t>
  </si>
  <si>
    <t>A LOTUS AP should be appointed with direct responsibility to ensure that all sustainable aspects of the project are met throughout the project lifecycle.</t>
  </si>
  <si>
    <t>VOC content of the product [g/L]</t>
  </si>
  <si>
    <t>LE-BPC-1 Composting</t>
  </si>
  <si>
    <t>Activities may be, but are not limited to, the following:</t>
  </si>
  <si>
    <t>Activity 1</t>
  </si>
  <si>
    <t>Name of the activity</t>
  </si>
  <si>
    <t>Description of the activity</t>
  </si>
  <si>
    <t>Activity 2</t>
  </si>
  <si>
    <t>Compliant Public Awareness Campaign?</t>
  </si>
  <si>
    <t>Compliant Construction Management Plan?</t>
  </si>
  <si>
    <t>Description of the tasks and responsibilities of the LOTUS AP</t>
  </si>
  <si>
    <t>Compliant LOTUS AP involvement?</t>
  </si>
  <si>
    <t>Name of the LOTUS AP</t>
  </si>
  <si>
    <t>LOTUS AP No. of Certificate</t>
  </si>
  <si>
    <t>Name of the plant</t>
  </si>
  <si>
    <t xml:space="preserve">• Drip or bubble irrigation systems that apply water directly to the roots of plants. </t>
  </si>
  <si>
    <t>• Irrigation systems fitted with manual timers (with a maximum range of two hours)</t>
  </si>
  <si>
    <t>• Irrigation systems fitted with automated timers (used with a soil moisture sensor or rain sensor)</t>
  </si>
  <si>
    <t>Density Factor (Kd)</t>
  </si>
  <si>
    <t>Low</t>
  </si>
  <si>
    <t>Average</t>
  </si>
  <si>
    <t>High</t>
  </si>
  <si>
    <t>Trees</t>
  </si>
  <si>
    <t>Shrubs</t>
  </si>
  <si>
    <t>Groundcover</t>
  </si>
  <si>
    <t>Lawn</t>
  </si>
  <si>
    <t>Standard values for species, density and microclimate factors of vegetated areas (Source: LEED Reference Guide for Green Building and Construction, 2009)</t>
  </si>
  <si>
    <t xml:space="preserve">Kmi = Microclimate factor specific for sub-area i (e.g. well shaded and sheltered area Km - “low”, area next to pavement or on roof - “high”) </t>
  </si>
  <si>
    <t>Ksi = Species factor specific for sub-area i (for the purposes of this calculation Ks for all native species can be considered as “low”)</t>
  </si>
  <si>
    <t>Kdi = Density factor specific for sub-area i</t>
  </si>
  <si>
    <t>Please click on the images below to navigate to the different categories.</t>
  </si>
  <si>
    <t>Sustainable material?</t>
  </si>
  <si>
    <t>Health &amp; Comfort Best Practice Credits</t>
  </si>
  <si>
    <t>Slope</t>
  </si>
  <si>
    <t>Window Condition</t>
  </si>
  <si>
    <t xml:space="preserve">Clean </t>
  </si>
  <si>
    <t>Dirty</t>
  </si>
  <si>
    <t>Non-Industrial Area</t>
  </si>
  <si>
    <t>Vertical</t>
  </si>
  <si>
    <t>Sloping</t>
  </si>
  <si>
    <t>Horizontal</t>
  </si>
  <si>
    <t>Dirty Industrial Area</t>
  </si>
  <si>
    <t>Angle of visible sky from the mid-point of the window</t>
  </si>
  <si>
    <t>Room Surface</t>
  </si>
  <si>
    <t>Recommended Reflectance</t>
  </si>
  <si>
    <t>Walls</t>
  </si>
  <si>
    <r>
      <rPr>
        <b/>
        <sz val="10"/>
        <rFont val="Arial"/>
        <family val="2"/>
      </rPr>
      <t>Recommended average reflectance values</t>
    </r>
    <r>
      <rPr>
        <sz val="10"/>
        <rFont val="Arial"/>
        <family val="2"/>
      </rPr>
      <t xml:space="preserve"> </t>
    </r>
  </si>
  <si>
    <t>Source: CIBSE Guide F Energy Efficiency in Buildings</t>
  </si>
  <si>
    <r>
      <rPr>
        <b/>
        <sz val="10"/>
        <rFont val="Arial"/>
        <family val="2"/>
      </rPr>
      <t>Maintenance factors</t>
    </r>
    <r>
      <rPr>
        <sz val="10"/>
        <rFont val="Arial"/>
        <family val="2"/>
      </rPr>
      <t xml:space="preserve"> </t>
    </r>
  </si>
  <si>
    <t>Source: Introduction to Architectural Science. Steven V. Szokolay</t>
  </si>
  <si>
    <t>H-4 Daylighting (Performance Path)</t>
  </si>
  <si>
    <t>Feedback Form</t>
  </si>
  <si>
    <t>Contact Information</t>
  </si>
  <si>
    <t>Full Name:</t>
  </si>
  <si>
    <t xml:space="preserve">Organisation/Company:
</t>
  </si>
  <si>
    <t>Email address:</t>
  </si>
  <si>
    <t>Feedback</t>
  </si>
  <si>
    <t>1. Questions</t>
  </si>
  <si>
    <t>2. General feedback</t>
  </si>
  <si>
    <t xml:space="preserve">E-3 </t>
  </si>
  <si>
    <t>Title</t>
  </si>
  <si>
    <t xml:space="preserve">W-3 </t>
  </si>
  <si>
    <t xml:space="preserve">M-1 </t>
  </si>
  <si>
    <t>Ventilation in Wet Areas</t>
  </si>
  <si>
    <t>Waste Management</t>
  </si>
  <si>
    <t>Exceptional Performance Enhancement</t>
  </si>
  <si>
    <t>Innovative techniques/initiative</t>
  </si>
  <si>
    <t>Comments may be related to the actual content of credits or related to the use of the tool (bugs, mistakes, practicality, etc.)</t>
  </si>
  <si>
    <t>Passive design</t>
  </si>
  <si>
    <t>Home Cooling</t>
  </si>
  <si>
    <t xml:space="preserve">Energy Monitors </t>
  </si>
  <si>
    <t>E-BPC</t>
  </si>
  <si>
    <t>W-BPC</t>
  </si>
  <si>
    <t xml:space="preserve">Drinking Water </t>
  </si>
  <si>
    <t>H-BPC</t>
  </si>
  <si>
    <t>LE-BPC</t>
  </si>
  <si>
    <t>CM-BPC</t>
  </si>
  <si>
    <t xml:space="preserve">Storm Water Runoff </t>
  </si>
  <si>
    <t>Flood Risk Mitigation</t>
  </si>
  <si>
    <t>Composting</t>
  </si>
  <si>
    <t xml:space="preserve">Strategy C: Solar radiation through windows </t>
  </si>
  <si>
    <t>Strategy B: Heat transfer through roofs</t>
  </si>
  <si>
    <t>Strategy A: Heat transfer through walls</t>
  </si>
  <si>
    <t>limit solar radiation?</t>
  </si>
  <si>
    <t xml:space="preserve">Compliant external walls? </t>
  </si>
  <si>
    <t xml:space="preserve">Compliant roofs? </t>
  </si>
  <si>
    <t>Please provide VGBC with any comment you may have.</t>
  </si>
  <si>
    <t>Instructions</t>
  </si>
  <si>
    <t>Graphical Results</t>
  </si>
  <si>
    <t>Project Information</t>
  </si>
  <si>
    <t>Categories</t>
  </si>
  <si>
    <t>Comments</t>
  </si>
  <si>
    <t>.</t>
  </si>
  <si>
    <t>Management</t>
  </si>
  <si>
    <r>
      <rPr>
        <b/>
        <sz val="11"/>
        <rFont val="Calibri"/>
        <family val="2"/>
        <scheme val="minor"/>
      </rPr>
      <t>•</t>
    </r>
    <r>
      <rPr>
        <b/>
        <sz val="11"/>
        <color rgb="FF0070C0"/>
        <rFont val="Calibri"/>
        <family val="2"/>
        <scheme val="minor"/>
      </rPr>
      <t xml:space="preserve"> Water (W)</t>
    </r>
    <r>
      <rPr>
        <sz val="11"/>
        <rFont val="Calibri"/>
        <family val="2"/>
        <scheme val="minor"/>
      </rPr>
      <t xml:space="preserve"> - To reduce the water consumption of a building through the use of water-efficient fixtures, rain water harvesting, water reuse/recycling and associated water saving measures.</t>
    </r>
  </si>
  <si>
    <t xml:space="preserve">This document must include a flood map, if available, identifying whether the selected site is within flood prone area. </t>
  </si>
  <si>
    <t>Water Use Through Fixtures Reduction (%)</t>
  </si>
  <si>
    <t>Click on the link on the 
right to navigate to the 
other Innovation credit</t>
  </si>
  <si>
    <t xml:space="preserve">Innovation credits are considered on a case by case basis. </t>
  </si>
  <si>
    <t xml:space="preserve">Exceptional Performance Enhancement </t>
  </si>
  <si>
    <t xml:space="preserve">There are two different cases where Exceptional Performance Enhancement points can be awarded: </t>
  </si>
  <si>
    <t xml:space="preserve">
Case 1: In a credit with two or more performance increments, the building performance exceeds the maximum credit requirement by an additional increment.
</t>
  </si>
  <si>
    <t xml:space="preserve">Case 2: In a credit with only one performance threshold, the building performance significantly exceeds the credit requirement. </t>
  </si>
  <si>
    <t>No documentation needs to be submitted here</t>
  </si>
  <si>
    <t xml:space="preserve">The VGBC reserves the right to not award points where adequate justification for the innovative nature of the strategy and environmental benefit cannot be provided. </t>
  </si>
  <si>
    <t>All units equipped with inverter?</t>
  </si>
  <si>
    <t>H-5</t>
  </si>
  <si>
    <t>Acoustic Comfort</t>
  </si>
  <si>
    <t>Roof</t>
  </si>
  <si>
    <r>
      <rPr>
        <b/>
        <sz val="10"/>
        <rFont val="Arial"/>
        <family val="2"/>
      </rPr>
      <t>• Sidelit daylit area</t>
    </r>
    <r>
      <rPr>
        <sz val="10"/>
        <rFont val="Arial"/>
        <family val="2"/>
      </rPr>
      <t xml:space="preserve"> is the area on a plan directly adjacent to each vertical glazing, two window head height deep into the area, and window width plus 0.5 times window head height wide on each side of the rough opening of the window, minus any area on a plan beyond a permanent obstruction that is 6 feet or taller as measured from the floor. Figure H.1 shows how to measure sidelit daylit area.</t>
    </r>
  </si>
  <si>
    <r>
      <rPr>
        <b/>
        <sz val="10"/>
        <rFont val="Arial"/>
        <family val="2"/>
      </rPr>
      <t>• Skylit daylit area</t>
    </r>
    <r>
      <rPr>
        <sz val="10"/>
        <rFont val="Arial"/>
        <family val="2"/>
      </rPr>
      <t xml:space="preserve"> is the rough area in plan view under each skylight, plus 0.7 times the average ceiling height in each direction from the edge of the rough opening of the skylight, minus any area on a plan beyond a permanent obstruction that is taller than one - half the distance from the floor to the bottom of the skylight. </t>
    </r>
  </si>
  <si>
    <t>Glazing Type</t>
  </si>
  <si>
    <t>Glazing Transmission</t>
  </si>
  <si>
    <t>Single-Glazed</t>
  </si>
  <si>
    <t>Clear</t>
  </si>
  <si>
    <t>Tinted</t>
  </si>
  <si>
    <t>Reflective</t>
  </si>
  <si>
    <t>Double-Glazed</t>
  </si>
  <si>
    <t>High-solar-gain low-E</t>
  </si>
  <si>
    <t>Low-solar-gain low-E</t>
  </si>
  <si>
    <t>Visible light transmission</t>
  </si>
  <si>
    <t>Source: Efficient Windows Collaborative</t>
  </si>
  <si>
    <t>Click on the links on the 
right to navigate to other 
Health &amp; Comfort credits</t>
  </si>
  <si>
    <t>Distance from site 
(m)</t>
  </si>
  <si>
    <t>Basic services</t>
  </si>
  <si>
    <t>Roof calculations:</t>
  </si>
  <si>
    <t>Hardscape calculations:</t>
  </si>
  <si>
    <t>• Rapidly renewable materials, which are natural building materials planted and harvested within a 10 year cycle, such as: bamboo, cork, coconut, etc.</t>
  </si>
  <si>
    <t>• Sustainable timber which is timber coming from sustainable sources.</t>
  </si>
  <si>
    <t>• exposed concrete (area of concrete floor surface that is uncovered, this may be polished or sealed as needed)</t>
  </si>
  <si>
    <t>• materials with at least 10% pre-consumer or 5% post-consumer recycled content</t>
  </si>
  <si>
    <t>• exposed concrete</t>
  </si>
  <si>
    <t>• materials that are locally extracted, harvested and manufactured</t>
  </si>
  <si>
    <t>M-6 Furniture</t>
  </si>
  <si>
    <t>Furniture</t>
  </si>
  <si>
    <t>• Furniture made from reused materials (reused components should exceed 50% of the furniture by mass)</t>
  </si>
  <si>
    <t>Sustainable furniture [%]</t>
  </si>
  <si>
    <t>The following types of furniture are considered as sustainable:</t>
  </si>
  <si>
    <t xml:space="preserve">• reused materials (tiles, floorboards, carpets, etc. can be reused) </t>
  </si>
  <si>
    <t>The following flooring materials are considered as sustainable:</t>
  </si>
  <si>
    <t xml:space="preserve">For 1 point, 40% of the flooring materials are sustainable 
For 2 points, 80% of the flooring materials are sustainable </t>
  </si>
  <si>
    <t>• Rapidly renewable materials, which are natural building materials planted and harvested within a 10 year cycle, such as: rice straw, bamboo, cork, coconut, etc.</t>
  </si>
  <si>
    <t>• Toilet partitions; shower partitions including shower screens</t>
  </si>
  <si>
    <t>This credit takes into account all the following materials:</t>
  </si>
  <si>
    <t>The following materials are considered as sustainable:</t>
  </si>
  <si>
    <t xml:space="preserve">Are excluded from the credit: </t>
  </si>
  <si>
    <t xml:space="preserve">• wall coverings such as paint, paper, vinyl and textile </t>
  </si>
  <si>
    <t>• Internal stairs</t>
  </si>
  <si>
    <t>• insulation</t>
  </si>
  <si>
    <t>Non-structural walls</t>
  </si>
  <si>
    <t>• Walls and partitions (non-load bearing space dividers)</t>
  </si>
  <si>
    <t>This credit takes into account all the structure materials:</t>
  </si>
  <si>
    <t>• Foundations</t>
  </si>
  <si>
    <t>• Columns</t>
  </si>
  <si>
    <t>• Beams</t>
  </si>
  <si>
    <t>• Structural roof components</t>
  </si>
  <si>
    <t>• Floors and subfloors</t>
  </si>
  <si>
    <t>• Load-bearing walls</t>
  </si>
  <si>
    <t>• Non-baked Materials (only applicable for walls) such as concrete blocks, gypsum panels, aerated autoclaved concrete, etc.</t>
  </si>
  <si>
    <t>Orientation</t>
  </si>
  <si>
    <t>SHGC of glazing</t>
  </si>
  <si>
    <t>Maximum SHGC value</t>
  </si>
  <si>
    <t xml:space="preserve">WWR </t>
  </si>
  <si>
    <r>
      <t>SHGC</t>
    </r>
    <r>
      <rPr>
        <vertAlign val="subscript"/>
        <sz val="10"/>
        <color rgb="FFFFFFFF"/>
        <rFont val="Arial"/>
        <family val="2"/>
      </rPr>
      <t xml:space="preserve">max </t>
    </r>
    <r>
      <rPr>
        <sz val="10"/>
        <color rgb="FFFFFFFF"/>
        <rFont val="Arial"/>
        <family val="2"/>
      </rPr>
      <t>on 8 main orientations</t>
    </r>
  </si>
  <si>
    <t>WWR low</t>
  </si>
  <si>
    <t>WWR high</t>
  </si>
  <si>
    <t>WWR (%)</t>
  </si>
  <si>
    <t>West</t>
  </si>
  <si>
    <t>North</t>
  </si>
  <si>
    <t>North-East</t>
  </si>
  <si>
    <t>North-West</t>
  </si>
  <si>
    <t>South-East</t>
  </si>
  <si>
    <t>South-West</t>
  </si>
  <si>
    <t>South</t>
  </si>
  <si>
    <t>SHGC low</t>
  </si>
  <si>
    <t>SHGC high</t>
  </si>
  <si>
    <t>column #</t>
  </si>
  <si>
    <t>row low#</t>
  </si>
  <si>
    <t>row high#</t>
  </si>
  <si>
    <t>A coefficient (shading)</t>
  </si>
  <si>
    <t>Average maximum SHGC value</t>
  </si>
  <si>
    <t>Improvement compared to VBEEC (%)</t>
  </si>
  <si>
    <t xml:space="preserve">WWR (%) </t>
  </si>
  <si>
    <r>
      <t xml:space="preserve">East façade </t>
    </r>
    <r>
      <rPr>
        <sz val="10"/>
        <color theme="0"/>
        <rFont val="Arial"/>
        <family val="2"/>
      </rPr>
      <t xml:space="preserve"> </t>
    </r>
  </si>
  <si>
    <t>West façade</t>
  </si>
  <si>
    <t>R=b/H</t>
  </si>
  <si>
    <t>N</t>
  </si>
  <si>
    <t>NE or NW</t>
  </si>
  <si>
    <t>SE or SW</t>
  </si>
  <si>
    <t>S</t>
  </si>
  <si>
    <t>→ North and south orientations</t>
  </si>
  <si>
    <t>Glazing</t>
  </si>
  <si>
    <t>b - reach of sunshade</t>
  </si>
  <si>
    <t>H - window height</t>
  </si>
  <si>
    <t xml:space="preserve">d </t>
  </si>
  <si>
    <t>d/H</t>
  </si>
  <si>
    <t>A coefficient</t>
  </si>
  <si>
    <t>SW</t>
  </si>
  <si>
    <t>R low</t>
  </si>
  <si>
    <t>R high</t>
  </si>
  <si>
    <t>A low</t>
  </si>
  <si>
    <t>A high</t>
  </si>
  <si>
    <t>A</t>
  </si>
  <si>
    <t>→ East and west orientations</t>
  </si>
  <si>
    <t>Reduce the area of glazing or simply avoid glazing on west and east facing facades.</t>
  </si>
  <si>
    <t>To design a rainwater harvesting system, the following elements should be considered:</t>
  </si>
  <si>
    <r>
      <rPr>
        <sz val="10"/>
        <rFont val="Calibri"/>
        <family val="2"/>
      </rPr>
      <t>•</t>
    </r>
    <r>
      <rPr>
        <sz val="10"/>
        <rFont val="Arial"/>
        <family val="2"/>
      </rPr>
      <t xml:space="preserve"> Conveyance</t>
    </r>
  </si>
  <si>
    <r>
      <rPr>
        <sz val="10"/>
        <rFont val="Calibri"/>
        <family val="2"/>
      </rPr>
      <t>•</t>
    </r>
    <r>
      <rPr>
        <sz val="10"/>
        <rFont val="Arial"/>
        <family val="2"/>
      </rPr>
      <t xml:space="preserve"> Catchment area</t>
    </r>
  </si>
  <si>
    <r>
      <rPr>
        <sz val="10"/>
        <rFont val="Calibri"/>
        <family val="2"/>
      </rPr>
      <t>•</t>
    </r>
    <r>
      <rPr>
        <sz val="10"/>
        <rFont val="Arial"/>
        <family val="2"/>
      </rPr>
      <t xml:space="preserve"> Storage</t>
    </r>
  </si>
  <si>
    <r>
      <rPr>
        <sz val="10"/>
        <rFont val="Calibri"/>
        <family val="2"/>
      </rPr>
      <t>•</t>
    </r>
    <r>
      <rPr>
        <sz val="10"/>
        <rFont val="Arial"/>
        <family val="2"/>
      </rPr>
      <t xml:space="preserve"> Distribution</t>
    </r>
  </si>
  <si>
    <r>
      <rPr>
        <sz val="10"/>
        <rFont val="Calibri"/>
        <family val="2"/>
      </rPr>
      <t>•</t>
    </r>
    <r>
      <rPr>
        <sz val="10"/>
        <rFont val="Arial"/>
        <family val="2"/>
      </rPr>
      <t xml:space="preserve"> Treatment</t>
    </r>
  </si>
  <si>
    <t>Illuminance is the total luminous flux incident on a surface, per unit area. It is a measure of how much the incident light illuminates the surface.</t>
  </si>
  <si>
    <t>Calculation is now based on number of items. Should it be based on area or weight? Should projects be given the choice between number of items, area or weight?</t>
  </si>
  <si>
    <t>Choice given to projects</t>
  </si>
  <si>
    <t>Area</t>
  </si>
  <si>
    <t>Number of items</t>
  </si>
  <si>
    <t>Weight</t>
  </si>
  <si>
    <t>Use reused water (gray and/or black water) to meet the water demand for irrigation and/or WC flushing.</t>
  </si>
  <si>
    <t>Lumens needed</t>
  </si>
  <si>
    <t>Lighting fixtures installed</t>
  </si>
  <si>
    <t>Total lumens from installed lights</t>
  </si>
  <si>
    <r>
      <rPr>
        <b/>
        <sz val="11"/>
        <rFont val="Calibri"/>
        <family val="2"/>
        <scheme val="minor"/>
      </rPr>
      <t>•</t>
    </r>
    <r>
      <rPr>
        <b/>
        <sz val="11"/>
        <color rgb="FF76923C"/>
        <rFont val="Calibri"/>
        <family val="2"/>
        <scheme val="minor"/>
      </rPr>
      <t xml:space="preserve"> Local Environment (LE)</t>
    </r>
    <r>
      <rPr>
        <sz val="11"/>
        <rFont val="Calibri"/>
        <family val="2"/>
        <scheme val="minor"/>
      </rPr>
      <t xml:space="preserve"> - To protect the ecology of the site of the building and surrounding area, to encourage recycling practices, and to integrate adaptation and mitigation strategies.</t>
    </r>
  </si>
  <si>
    <r>
      <rPr>
        <b/>
        <sz val="11"/>
        <rFont val="Calibri"/>
        <family val="2"/>
        <scheme val="minor"/>
      </rPr>
      <t>•</t>
    </r>
    <r>
      <rPr>
        <b/>
        <sz val="11"/>
        <color rgb="FF943634"/>
        <rFont val="Calibri"/>
        <family val="2"/>
        <scheme val="minor"/>
      </rPr>
      <t xml:space="preserve"> Health and Comfort (H) </t>
    </r>
    <r>
      <rPr>
        <sz val="11"/>
        <rFont val="Calibri"/>
        <family val="2"/>
        <scheme val="minor"/>
      </rPr>
      <t xml:space="preserve"> - To ensure high indoor environmental quality, through the optimisation of indoor air quality, daylighting, and thermal comfort.</t>
    </r>
  </si>
  <si>
    <r>
      <t xml:space="preserve">• In addition to the above Categories, an </t>
    </r>
    <r>
      <rPr>
        <b/>
        <sz val="11"/>
        <color rgb="FFFFC000"/>
        <rFont val="Calibri"/>
        <family val="2"/>
        <scheme val="minor"/>
      </rPr>
      <t>Innovation (Inn)</t>
    </r>
    <r>
      <rPr>
        <sz val="11"/>
        <rFont val="Calibri"/>
        <family val="2"/>
        <scheme val="minor"/>
      </rPr>
      <t xml:space="preserve"> category rewards exceptional performance or initiatives which are not specifically addressed by LOTUS. This category awards additional “bonus” points.</t>
    </r>
  </si>
  <si>
    <r>
      <t xml:space="preserve">Some credits can be satisfied through different </t>
    </r>
    <r>
      <rPr>
        <b/>
        <sz val="11"/>
        <color theme="1"/>
        <rFont val="Calibri"/>
        <family val="2"/>
        <scheme val="minor"/>
      </rPr>
      <t>options</t>
    </r>
    <r>
      <rPr>
        <sz val="11"/>
        <color theme="1"/>
        <rFont val="Calibri"/>
        <family val="2"/>
        <scheme val="minor"/>
      </rPr>
      <t xml:space="preserve"> or </t>
    </r>
    <r>
      <rPr>
        <b/>
        <sz val="11"/>
        <color theme="1"/>
        <rFont val="Calibri"/>
        <family val="2"/>
        <scheme val="minor"/>
      </rPr>
      <t>strategies</t>
    </r>
    <r>
      <rPr>
        <sz val="11"/>
        <color theme="1"/>
        <rFont val="Calibri"/>
        <family val="2"/>
        <scheme val="minor"/>
      </rPr>
      <t xml:space="preserve">. A project can select only one </t>
    </r>
    <r>
      <rPr>
        <b/>
        <sz val="11"/>
        <color theme="1"/>
        <rFont val="Calibri"/>
        <family val="2"/>
        <scheme val="minor"/>
      </rPr>
      <t>option</t>
    </r>
    <r>
      <rPr>
        <sz val="11"/>
        <color theme="1"/>
        <rFont val="Calibri"/>
        <family val="2"/>
        <scheme val="minor"/>
      </rPr>
      <t xml:space="preserve"> with its assigned points. A project can implement any or all </t>
    </r>
    <r>
      <rPr>
        <b/>
        <sz val="11"/>
        <color theme="1"/>
        <rFont val="Calibri"/>
        <family val="2"/>
        <scheme val="minor"/>
      </rPr>
      <t>strategies</t>
    </r>
    <r>
      <rPr>
        <sz val="11"/>
        <color theme="1"/>
        <rFont val="Calibri"/>
        <family val="2"/>
        <scheme val="minor"/>
      </rPr>
      <t xml:space="preserve"> and accumulate points for the credit (while being restricted by the maximum number of points).</t>
    </r>
  </si>
  <si>
    <t>Strategy D: Solar radiation on solid surfaces</t>
  </si>
  <si>
    <t xml:space="preserve">→ Limit solar radiation on 95% of the solid roof surface </t>
  </si>
  <si>
    <t xml:space="preserve">→ Limit solar radiation on 95% of the solid walls surface </t>
  </si>
  <si>
    <t xml:space="preserve">solid roof area limiting solar radiation (%) </t>
  </si>
  <si>
    <t xml:space="preserve">solid wall area limiting solar radiation (%) </t>
  </si>
  <si>
    <t>Strategy C: Solar radiation on solid surfaces</t>
  </si>
  <si>
    <r>
      <rPr>
        <b/>
        <sz val="10"/>
        <rFont val="Arial"/>
        <family val="2"/>
      </rPr>
      <t>Strategy C: Solar radiation on solid surfaces</t>
    </r>
    <r>
      <rPr>
        <sz val="10"/>
        <rFont val="Arial"/>
        <family val="2"/>
      </rPr>
      <t xml:space="preserve">
Implement strategies to reduce the solar radiation absorbed by solid surfaces.</t>
    </r>
  </si>
  <si>
    <t>Opening with adjoining room?</t>
  </si>
  <si>
    <t>Mixed-mode ventilated spaces are spaces where both mechanical and natural ventilation processes are used in combination.</t>
  </si>
  <si>
    <t>Spaces are naturally ventilated spaces when the indoor air is changed with outdoor air without the use of mechanical system</t>
  </si>
  <si>
    <r>
      <rPr>
        <b/>
        <sz val="11"/>
        <rFont val="Calibri"/>
        <family val="2"/>
      </rPr>
      <t>•</t>
    </r>
    <r>
      <rPr>
        <b/>
        <sz val="11"/>
        <color rgb="FF58AB27"/>
        <rFont val="Calibri"/>
        <family val="2"/>
      </rPr>
      <t xml:space="preserve"> </t>
    </r>
    <r>
      <rPr>
        <b/>
        <sz val="11"/>
        <color rgb="FF58AB27"/>
        <rFont val="Calibri"/>
        <family val="2"/>
        <scheme val="minor"/>
      </rPr>
      <t>Energy (E)</t>
    </r>
    <r>
      <rPr>
        <sz val="11"/>
        <color theme="1"/>
        <rFont val="Calibri"/>
        <family val="2"/>
        <scheme val="minor"/>
      </rPr>
      <t xml:space="preserve"> - To monitor and reduce the energy consumption of a building through, for example, passive design, the use of natural ventilation and the installation of energy-efficient equipment (HVAC, lighting, water heater, etc.).</t>
    </r>
  </si>
  <si>
    <t>Admin</t>
  </si>
  <si>
    <t>Submission content</t>
  </si>
  <si>
    <t>Submission delivery</t>
  </si>
  <si>
    <t>Submit the completed user form by email to: certification@vgbc.org.vn</t>
  </si>
  <si>
    <t>Please confirm</t>
  </si>
  <si>
    <t>Pre-assessment stage checklist</t>
  </si>
  <si>
    <t>Submit other documents:</t>
  </si>
  <si>
    <t>Submit the following:</t>
  </si>
  <si>
    <t>Submission presentation</t>
  </si>
  <si>
    <t>Respect the following requirements:</t>
  </si>
  <si>
    <t>All documents are legible (drawings, plans, photographs when showing written information, etc.)</t>
  </si>
  <si>
    <t>Create a zip file containing all the credit folders and other documentation.</t>
  </si>
  <si>
    <t>Details (if other filter type)</t>
  </si>
  <si>
    <t>CM-BPC-2 Comprehensive Construction Management Plan</t>
  </si>
  <si>
    <t>CM-BPC-3 Public Awareness Campaign</t>
  </si>
  <si>
    <r>
      <rPr>
        <b/>
        <sz val="10"/>
        <rFont val="Arial"/>
        <family val="2"/>
      </rPr>
      <t>CM-BPC-2 Comprehensive Construction Management Plan</t>
    </r>
    <r>
      <rPr>
        <sz val="10"/>
        <rFont val="Arial"/>
        <family val="2"/>
      </rPr>
      <t xml:space="preserve">
Prepare and implement a Construction Management Plan covering all the strategies in credit CM-2 Construction Management</t>
    </r>
  </si>
  <si>
    <r>
      <rPr>
        <b/>
        <sz val="10"/>
        <rFont val="Arial"/>
        <family val="2"/>
      </rPr>
      <t>CM-BPC-3 Public Awareness Campaign</t>
    </r>
    <r>
      <rPr>
        <sz val="10"/>
        <rFont val="Arial"/>
        <family val="2"/>
      </rPr>
      <t xml:space="preserve">
Conduct at least two activities to promote general public awareness</t>
    </r>
  </si>
  <si>
    <r>
      <rPr>
        <b/>
        <sz val="10"/>
        <rFont val="Arial"/>
        <family val="2"/>
      </rPr>
      <t>Strategy A: Heat transfer through walls</t>
    </r>
    <r>
      <rPr>
        <sz val="10"/>
        <rFont val="Arial"/>
        <family val="2"/>
      </rPr>
      <t xml:space="preserve">
All the external walls are made with any or any combination of the following: 
AAC blocks, a layer of insulation material with a thickness of at least 40mm, lightweight hollow blocks or equivalent.</t>
    </r>
  </si>
  <si>
    <r>
      <rPr>
        <b/>
        <sz val="10"/>
        <rFont val="Arial"/>
        <family val="2"/>
      </rPr>
      <t>Strategy B: Heat transfer through roofs</t>
    </r>
    <r>
      <rPr>
        <sz val="10"/>
        <rFont val="Arial"/>
        <family val="2"/>
      </rPr>
      <t xml:space="preserve">
All the roofs are made with any or any combination of the following: 
An air layer of at least 40mm, a layer of insulation material with a thickness of at least 40mm, a fixed sunshade, a green roof or equivalent.</t>
    </r>
  </si>
  <si>
    <r>
      <rPr>
        <b/>
        <sz val="10"/>
        <rFont val="Arial"/>
        <family val="2"/>
      </rPr>
      <t>Strategy D: Solar radiation on solid surfaces</t>
    </r>
    <r>
      <rPr>
        <sz val="10"/>
        <rFont val="Arial"/>
        <family val="2"/>
      </rPr>
      <t xml:space="preserve">
Limit solar radiation on 95% of the solid surfaces.</t>
    </r>
  </si>
  <si>
    <t>Length of the room (m)</t>
  </si>
  <si>
    <t>Width of the room (m)</t>
  </si>
  <si>
    <t>Height of the room (m)</t>
  </si>
  <si>
    <r>
      <t xml:space="preserve">• </t>
    </r>
    <r>
      <rPr>
        <b/>
        <sz val="10"/>
        <rFont val="Arial"/>
        <family val="2"/>
      </rPr>
      <t>Continuous Local Ventilation Exhaust</t>
    </r>
    <r>
      <rPr>
        <sz val="10"/>
        <rFont val="Arial"/>
        <family val="2"/>
      </rPr>
      <t xml:space="preserve">
The local exhaust system should operate continuously and automatically, and meet the following minimum airflow rates:
- Kitchen: airflow of at least 5 air changes per hour
- Bathroom: airflow of at least 10 L/s
- Toilets: airflow of at least 10 L/s</t>
    </r>
  </si>
  <si>
    <r>
      <t xml:space="preserve">• </t>
    </r>
    <r>
      <rPr>
        <b/>
        <sz val="10"/>
        <rFont val="Arial"/>
        <family val="2"/>
      </rPr>
      <t>Intermittent Local Ventilation Exhaust</t>
    </r>
    <r>
      <rPr>
        <sz val="10"/>
        <rFont val="Arial"/>
        <family val="2"/>
      </rPr>
      <t xml:space="preserve">
The local exhaust system should be designed to be operated as needed by the occupant and the following minimum air flow rates must be met:
- Kitchen: airflow of at least 50 L/s 
- Bathroom airflow of at least 25 L/s
- Toilets: airflow of at least 25 L/s</t>
    </r>
  </si>
  <si>
    <t>For kitchens, if the exhaust fan flow is less than 5 air changes per hour, a vented range hood is required.</t>
  </si>
  <si>
    <t>Ventilation from operable window</t>
  </si>
  <si>
    <t>Local mechanical exhaust ventilation</t>
  </si>
  <si>
    <t>This credit takes into account all types of furniture including fitted furniture (fitted cupboard, fitted wardrobe, etc.) and loose furniture (chairs, tables, desks, cabinets, etc.)</t>
  </si>
  <si>
    <t xml:space="preserve">For 1 point, 40% of the non-structural walls are sustainable 
For 2 points, 60% of the non-structural walls are sustainable 
For 3 points, 80% of the non-structural walls are sustainable </t>
  </si>
  <si>
    <t>General Instructions on the User Tool</t>
  </si>
  <si>
    <t>2. How to use this Tool?</t>
  </si>
  <si>
    <t>Based on 80 points available, certification levels are as shown in the figure below:</t>
  </si>
  <si>
    <t xml:space="preserve">Non-structural Walls </t>
  </si>
  <si>
    <t>Number of doorway or opening on the air flow path?</t>
  </si>
  <si>
    <t>Cross ventilation in a room is considered as achieved when:</t>
  </si>
  <si>
    <t>-</t>
  </si>
  <si>
    <r>
      <t>³</t>
    </r>
    <r>
      <rPr>
        <sz val="10"/>
        <color theme="1"/>
        <rFont val="Arial"/>
        <family val="2"/>
      </rPr>
      <t xml:space="preserve"> 4.5 kW and &lt; 7 kW</t>
    </r>
  </si>
  <si>
    <t>Increase the permeability of outside areas to control storm water runoff quantity and quality.</t>
  </si>
  <si>
    <t>Reduce the urban heat island effect</t>
  </si>
  <si>
    <t>• Paving materials with SRI higher than 29</t>
  </si>
  <si>
    <t>• Green roofs</t>
  </si>
  <si>
    <t>• Solar panels</t>
  </si>
  <si>
    <t>• Shading from existing trees canopy or within 10 years of landscape installation (shades must cover paved or roof areas)</t>
  </si>
  <si>
    <t xml:space="preserve">• Shading devices with solar reflectance index (SRI) higher than 29 </t>
  </si>
  <si>
    <t>• Roofing materials with solar reflectance index (SRI) higher than 78 for low sloped roof (less than 2:12 rise over run, i.e.less than 9,5° / 16.6%) and 29 otherwise.</t>
  </si>
  <si>
    <t>Summary:</t>
  </si>
  <si>
    <t>Density of pot plants</t>
  </si>
  <si>
    <t>Lighting comfort provided?</t>
  </si>
  <si>
    <t>Average reverberation time (T60) in the habitable spaces of the project should be lower than 0.6 seconds</t>
  </si>
  <si>
    <t>Calculations of reverberation time are not included in this sheet.</t>
  </si>
  <si>
    <t>Calculations can be made according to ISO 3382 Acoustics – Measurement of the reverberation time for rooms with reference to other acoustical parameters.</t>
  </si>
  <si>
    <t xml:space="preserve">Also, reverberation time can be calculated theoretically using a modelling software that includes an acoustic component or with a calculator (such as http://www.sengpielaudio.com/calculator-RT60.htm)
</t>
  </si>
  <si>
    <t>Average reverberation time (T60)</t>
  </si>
  <si>
    <t>Compliant reverberation time?</t>
  </si>
  <si>
    <t>Rainwater harvesting system properly installed ?</t>
  </si>
  <si>
    <t>Worksheets</t>
  </si>
  <si>
    <t>General Comments</t>
  </si>
  <si>
    <t>- Succulent plants: Cactus, Aloe, Euphorbiaceae family, etc.</t>
  </si>
  <si>
    <t>Compliant selection of plants?</t>
  </si>
  <si>
    <t>Compliant use of efficient irrigation system?</t>
  </si>
  <si>
    <t>IEi = Irrigation efficiency factor specific for sub-area i (e.g. drip irrigation IE = 0.9 and sprinkler IE = 0.625)</t>
  </si>
  <si>
    <r>
      <rPr>
        <b/>
        <sz val="11"/>
        <rFont val="Calibri"/>
        <family val="2"/>
        <scheme val="minor"/>
      </rPr>
      <t xml:space="preserve">• </t>
    </r>
    <r>
      <rPr>
        <b/>
        <sz val="11"/>
        <color rgb="FF5F4970"/>
        <rFont val="Calibri"/>
        <family val="2"/>
        <scheme val="minor"/>
      </rPr>
      <t>Materials (M)</t>
    </r>
    <r>
      <rPr>
        <b/>
        <sz val="11"/>
        <rFont val="Calibri"/>
        <family val="2"/>
        <scheme val="minor"/>
      </rPr>
      <t xml:space="preserve"> </t>
    </r>
    <r>
      <rPr>
        <sz val="11"/>
        <rFont val="Calibri"/>
        <family val="2"/>
        <scheme val="minor"/>
      </rPr>
      <t>- To encourage use of sustainable materials and reduce use of high-embodied-energy materials, for example through the use of re-used and/or recycled materials.</t>
    </r>
  </si>
  <si>
    <t>Ventilate wet areas with a local exhaust system or openable windows</t>
  </si>
  <si>
    <r>
      <rPr>
        <b/>
        <sz val="10"/>
        <rFont val="Arial"/>
        <family val="2"/>
      </rPr>
      <t>• Openable windows</t>
    </r>
    <r>
      <rPr>
        <sz val="10"/>
        <rFont val="Arial"/>
        <family val="2"/>
      </rPr>
      <t xml:space="preserve">
Toilets and bathrooms should have an operable window area no less than 4% of room floor area nor less than 0.15 m2</t>
    </r>
  </si>
  <si>
    <t>Sustainable structure materials [%]</t>
  </si>
  <si>
    <r>
      <rPr>
        <b/>
        <sz val="10"/>
        <color rgb="FF943634"/>
        <rFont val="Arial"/>
        <family val="2"/>
      </rPr>
      <t>Report</t>
    </r>
    <r>
      <rPr>
        <sz val="10"/>
        <rFont val="Arial"/>
        <family val="2"/>
      </rPr>
      <t xml:space="preserve"> - A written document that describes how the project satisfies the requirements of a certain LOTUS credit.</t>
    </r>
  </si>
  <si>
    <r>
      <rPr>
        <b/>
        <sz val="10"/>
        <color rgb="FF943634"/>
        <rFont val="Arial"/>
        <family val="2"/>
      </rPr>
      <t>Schematics</t>
    </r>
    <r>
      <rPr>
        <sz val="10"/>
        <rFont val="Arial"/>
        <family val="2"/>
      </rPr>
      <t xml:space="preserve"> - A diagram that represents the elements of a system using symbols.</t>
    </r>
  </si>
  <si>
    <t>External wall assembly</t>
  </si>
  <si>
    <t>insulation material with a thickness &gt; 40mm</t>
  </si>
  <si>
    <t>other (with equivalent or higher performance)</t>
  </si>
  <si>
    <t>Material used in the wall assembly</t>
  </si>
  <si>
    <t>air layer of at least 40mm</t>
  </si>
  <si>
    <t>fixed sunshade</t>
  </si>
  <si>
    <t>Material used in the roof assembly</t>
  </si>
  <si>
    <t>Roof assembly</t>
  </si>
  <si>
    <t>For each external wall assembly, enter the type of material used to limit heat transfer through the wall:</t>
  </si>
  <si>
    <t>For each roof assembly, enter the type of material used to limit heat transfer through the roof:</t>
  </si>
  <si>
    <t>other type of glazing</t>
  </si>
  <si>
    <t>Glazing system</t>
  </si>
  <si>
    <t xml:space="preserve">Compliant glazing? </t>
  </si>
  <si>
    <t>solar control glass</t>
  </si>
  <si>
    <t>double-glazed, low-solar-gain low-E glass</t>
  </si>
  <si>
    <t>For each glazing system installed, enter the type of glass used to limit solar radiation:</t>
  </si>
  <si>
    <t>Type of glass used</t>
  </si>
  <si>
    <r>
      <rPr>
        <b/>
        <sz val="11"/>
        <rFont val="Arial"/>
        <family val="2"/>
      </rPr>
      <t>Strategy B: U-values of roofs
All the roofs are made with any or any combination of the following: 
An air layer of at least 40mm, a layer of insulation material with a thickness of at least 40mm, a fixed sunshade, a green roof or equivalent.</t>
    </r>
  </si>
  <si>
    <t xml:space="preserve">This credit takes into account all the following types of flooring materials: </t>
  </si>
  <si>
    <t>• flooring underlay (backing material for floor coverings)</t>
  </si>
  <si>
    <t>• floor coverings (fixed, supported or floating) such as: carpet, timber, resilient flooring, hard flooring, etc.</t>
  </si>
  <si>
    <r>
      <rPr>
        <b/>
        <sz val="10"/>
        <rFont val="Arial"/>
        <family val="2"/>
      </rPr>
      <t>Exclusions:</t>
    </r>
    <r>
      <rPr>
        <sz val="10"/>
        <rFont val="Arial"/>
        <family val="2"/>
      </rPr>
      <t xml:space="preserve"> Rugs (similar to carpet but not exceeding the length of 2m), sealants and paint finishes are excluded</t>
    </r>
  </si>
  <si>
    <t>Flooring items</t>
  </si>
  <si>
    <t>The area of a flooring item is the area shown in plan view (two dimensional drawing of an object showing how it would look from above).</t>
  </si>
  <si>
    <t>Example: An internal floor area of 10 m2 fully covered by vinyl flooring with an underlay for vinyl flooring and a carpet of 5 m2: a total of 25 m2 would be entered in the table below.</t>
  </si>
  <si>
    <t>Non-structural wall items</t>
  </si>
  <si>
    <t>The area of a non-structural wall item is equal to the total length of the item multiplied by its total height.</t>
  </si>
  <si>
    <t xml:space="preserve">This credit takes into account all roof coverings, roof sunshade and roof sheathing materials. </t>
  </si>
  <si>
    <r>
      <rPr>
        <b/>
        <sz val="10"/>
        <rFont val="Arial"/>
        <family val="2"/>
      </rPr>
      <t>Exceptions:</t>
    </r>
    <r>
      <rPr>
        <sz val="10"/>
        <rFont val="Arial"/>
        <family val="2"/>
      </rPr>
      <t xml:space="preserve"> Structural roofing, insulation materials and roof underlayment (extra layer of protection on top of the sheathing) should not be considered. </t>
    </r>
  </si>
  <si>
    <t>Air-cooled air-conditioner</t>
  </si>
  <si>
    <t>Water cooled air-conditioner</t>
  </si>
  <si>
    <t>For 1 point, 40% of windows and doors are made up of sustainable materials
For 2 points, 80% of windows and doors are made up of sustainable materials</t>
  </si>
  <si>
    <t>• Materials with at least 10% pre-consumer or 5% post-consumer recycled content</t>
  </si>
  <si>
    <t>• Materials that are locally extracted, harvested and manufactured</t>
  </si>
  <si>
    <t xml:space="preserve">Area of window frames, doors and door frames is calculated as the total length of the item multiplied by its total height. </t>
  </si>
  <si>
    <t xml:space="preserve">To be qualified as a product made up of sustainable materials, a product must be made up of at least 50% of sustainable materials by weight. 
</t>
  </si>
  <si>
    <t>Windows and doors made up of sustainable materials  [%]</t>
  </si>
  <si>
    <t>Sustainable area (m2)</t>
  </si>
  <si>
    <t>Window and door items</t>
  </si>
  <si>
    <t xml:space="preserve">Do you agree with the criteria on sustainable materials set for the credits in Materials category? </t>
  </si>
  <si>
    <t>Comments:</t>
  </si>
  <si>
    <t>Q1: LOTUS Homes eligibility</t>
  </si>
  <si>
    <t>Water heating</t>
  </si>
  <si>
    <t>This is an optional stage to verify that the project is on right track (realistic targets, no mistakes, safety margin for certification, etc.).</t>
  </si>
  <si>
    <t>• Wall coverings, such as tiles, timber, skirting, etc.</t>
  </si>
  <si>
    <t>• Reused materials</t>
  </si>
  <si>
    <t>Walls, partitions and wall coverings areas must be considered. Then, the total area of non-structural wall items may be higher than the internal wall area.</t>
  </si>
  <si>
    <t>Floor coverings, flooring underlay and exposed concrete surfaces must be considered. Then, the total area of flooring items may be higher than the internal floor area.</t>
  </si>
  <si>
    <t>If yes, should the scope of the rating system be reduced to only take into account the credits applicable for dwelling-units?</t>
  </si>
  <si>
    <t>Pre-assessment checklist</t>
  </si>
  <si>
    <t xml:space="preserve">Full stage checklist </t>
  </si>
  <si>
    <t>All documents (except technical data) are dated</t>
  </si>
  <si>
    <t>For this credit, it is possible to follow at the same time one strategy with the prescriptive path and the other strategy with the performance path.</t>
  </si>
  <si>
    <t>The Site Analysis can be realised with a Site Analysis Plan showing the following details:</t>
  </si>
  <si>
    <t>•  Sunlight arc (sun path)</t>
  </si>
  <si>
    <t>Strategy A: Plant selection</t>
  </si>
  <si>
    <t>Strategy B: Water Efficient Irrigation System</t>
  </si>
  <si>
    <r>
      <rPr>
        <b/>
        <sz val="10"/>
        <rFont val="Arial"/>
        <family val="2"/>
      </rPr>
      <t>Strategy A: Plant selection</t>
    </r>
    <r>
      <rPr>
        <sz val="10"/>
        <rFont val="Arial"/>
        <family val="2"/>
      </rPr>
      <t xml:space="preserve">
Select plants to minimise water demand for irrigation </t>
    </r>
  </si>
  <si>
    <r>
      <rPr>
        <b/>
        <sz val="10"/>
        <rFont val="Arial"/>
        <family val="2"/>
      </rPr>
      <t>Strategy B: Water Efficient Irrigation System</t>
    </r>
    <r>
      <rPr>
        <sz val="10"/>
        <rFont val="Arial"/>
        <family val="2"/>
      </rPr>
      <t xml:space="preserve">
Install a water efficient irrigation system</t>
    </r>
  </si>
  <si>
    <t xml:space="preserve">Do you agree to have dwelling-units eligible under LOTUS Homes? </t>
  </si>
  <si>
    <t>Meaning that: some credits would not be considered and certification would require less points to be achieved (keeping the same percentages but having a lower total number of points)</t>
  </si>
  <si>
    <t>If not, can you provide some ideas below to improve the credits?</t>
  </si>
  <si>
    <t xml:space="preserve">For 1 point, 40% of the structure materials are sustainable 
For 2 points, 60% of the structure materials are sustainable 
For 3 points, 80% of the structure materials are sustainable </t>
  </si>
  <si>
    <t>Irrigation requirements</t>
  </si>
  <si>
    <t>VGBC123</t>
  </si>
  <si>
    <t>2. Selection of targeted credits</t>
  </si>
  <si>
    <t>• Feasibility: Not all credits are applicable for all projects</t>
  </si>
  <si>
    <t>• Compatibility with owner requirements (comfort, budget, etc.)</t>
  </si>
  <si>
    <t>• Simplicity: Some credits can be quite challenging when others are straight forward</t>
  </si>
  <si>
    <t>2. Always keep a safety net by targeting more credits than needed to reach the desired Certification Level.</t>
  </si>
  <si>
    <t>1. Before deciding the credits to target, go through the User Tool and test the credits to understand requirements.</t>
  </si>
  <si>
    <t>3. Ideally, the whole project team should contribute to the selection of targeted credits before the beginning of the design stage.</t>
  </si>
  <si>
    <t>Architecture</t>
  </si>
  <si>
    <t>Selection of equipment</t>
  </si>
  <si>
    <t>Construction practices</t>
  </si>
  <si>
    <t>Note: some credits may be overlapping in different categories</t>
  </si>
  <si>
    <t>E-1, W-2, LE-1, LE-2, LE-3, LE-4, LE-5, LE-6</t>
  </si>
  <si>
    <t>LE-8,CM-1,CM-3</t>
  </si>
  <si>
    <t>Site location &amp; design</t>
  </si>
  <si>
    <t>1. Define the project and objectives</t>
  </si>
  <si>
    <t>3. Credit Compliance</t>
  </si>
  <si>
    <t>3. Credit compliance</t>
  </si>
  <si>
    <t>Please note that you may use the example provided to test LOTUS Homes rating system and the User Tool.</t>
  </si>
  <si>
    <t>Please send your feedback by email to certification@vgbc.org.vn. You may complete the form below or simply write down your comments in the email.</t>
  </si>
  <si>
    <t>Step 1: define the project: building type, number of floors, number and type of rooms, GFA, etc.</t>
  </si>
  <si>
    <t>Step 2: identify the objectives of the project:</t>
  </si>
  <si>
    <t>• Does the owner mainly want to decrease operational costs (through energy and water savings)?</t>
  </si>
  <si>
    <t xml:space="preserve">• Does the owner mainly want to improve comfort (improve ventilation, daylight, vegetation, etc.)? </t>
  </si>
  <si>
    <t>• Does the owner main want to limit building environmantal impacts?</t>
  </si>
  <si>
    <t>Projects are not required to follow these recommendations;  they are only given for information purpose.</t>
  </si>
  <si>
    <t>The User should remember that there is a wide range of credits to choose from, except for  projects aiming for Gold and Platinum which must achieve most of the available credits.</t>
  </si>
  <si>
    <t>It helps to base the Selection of credits on the following criteria:</t>
  </si>
  <si>
    <t>To comply with a credit, projects must:</t>
  </si>
  <si>
    <t>• achieve the required performance</t>
  </si>
  <si>
    <t>• provide documentation demonstrating that the requirements are achieved</t>
  </si>
  <si>
    <t>First step should be to decide the responsibilities of the different members of the project team.</t>
  </si>
  <si>
    <t>Different credits target different aspects of the project and the persons responsible for these different aspects are usually the best choice to provide key information and documentation.</t>
  </si>
  <si>
    <t>1. Always make sure that requirements will be achieved by completing the information in the User Tool as early as possible.</t>
  </si>
  <si>
    <t>2.Notify relevant parties as early as possible about specific documentation requirements.</t>
  </si>
  <si>
    <t xml:space="preserve">The User Tool is a template which allows the applicant to: </t>
  </si>
  <si>
    <t>• select the targeted credits</t>
  </si>
  <si>
    <t>• perform the calculations required in the credits</t>
  </si>
  <si>
    <r>
      <rPr>
        <sz val="11"/>
        <rFont val="Symbol"/>
        <family val="1"/>
        <charset val="2"/>
      </rPr>
      <t>®</t>
    </r>
    <r>
      <rPr>
        <sz val="11"/>
        <rFont val="Calibri"/>
        <family val="2"/>
        <scheme val="minor"/>
      </rPr>
      <t xml:space="preserve"> Read the Introduction and Instructions sheets before proceeding with credit selection.</t>
    </r>
  </si>
  <si>
    <t>Q2: Materials category</t>
  </si>
  <si>
    <t>Q3: M-6 Furniture</t>
  </si>
  <si>
    <t>Complete Project Information sheet</t>
  </si>
  <si>
    <t>Minimum 5 completed credit sheets</t>
  </si>
  <si>
    <t>All relevant communication with the VGBC (technical queries, credit interpretations, etc.)</t>
  </si>
  <si>
    <t xml:space="preserve">Completed Project information sheet </t>
  </si>
  <si>
    <t xml:space="preserve">Completed credit sheets for all  targeted credits </t>
  </si>
  <si>
    <t>Submit the User Tool completed with:</t>
  </si>
  <si>
    <t>Submit the complete User Tool together with:</t>
  </si>
  <si>
    <t>Credit folders with all required documentation for all targeted credits</t>
  </si>
  <si>
    <t>Inside of documents, highlight relevant information for credits where suitable</t>
  </si>
  <si>
    <t>All drawings, plans, elevations or other documentation drawn by hand must be signed</t>
  </si>
  <si>
    <t>• Evidence showing each measure implemented such as photographs, etc.</t>
  </si>
  <si>
    <t>• Minutes of meeting of the Eco-Charrette</t>
  </si>
  <si>
    <t>• Photographs of the event showing the participants at the Eco-Charrette</t>
  </si>
  <si>
    <t xml:space="preserve">Navigation </t>
  </si>
  <si>
    <t>1. Scope</t>
  </si>
  <si>
    <t>2. Categories</t>
  </si>
  <si>
    <t>3. Credits</t>
  </si>
  <si>
    <t>4. Certification Levels</t>
  </si>
  <si>
    <t>5. Certification Process</t>
  </si>
  <si>
    <t>6. Submissions</t>
  </si>
  <si>
    <t>Reply to the following questions:</t>
  </si>
  <si>
    <t>• Have an in-house visual display located conveniently for owners - OR - have the ability to communicate the information to a personal computer</t>
  </si>
  <si>
    <t xml:space="preserve">• Provide real-time feedback on energy consumption </t>
  </si>
  <si>
    <t>• Provide a function to analyse data at regular intervals (daily, weekly, monthly or yearly)</t>
  </si>
  <si>
    <t>Certification stage checklist</t>
  </si>
  <si>
    <t>Certification stage</t>
  </si>
  <si>
    <t>Average luminous efficacy is higher than:</t>
  </si>
  <si>
    <t>• Technical data of the lighting fixtures showing wattage and lumen output</t>
  </si>
  <si>
    <t>• Evidence showing that the energy monitor can analyse data at regular intervals and can provide the data to a visual display or to a PC such as photographs, technical data, etc.</t>
  </si>
  <si>
    <t>• Evidence showing that the aforementioned appliances were installed such as photographs, invoices, etc.</t>
  </si>
  <si>
    <t>• Evidence showing that the aforementioned appliances are certified under a recognised energy efficiency label such as photographs, technical data, etc.</t>
  </si>
  <si>
    <t>• Floor plans showing the location of the lighting fixtures</t>
  </si>
  <si>
    <t>• Evidence of the lighting fixtures installed such as photographs, invoices, receipts, etc.</t>
  </si>
  <si>
    <t xml:space="preserve">Specify lighting fixtures with high luminous efficacy (such as fluorescent T5, LED, etc.). </t>
  </si>
  <si>
    <t xml:space="preserve">The luminous efficacy of a source is a measure of the efficiency with which the source provides visible light from electricity. It is the ratio of luminous flux (in lumen, lm) to power (in watts, W). Luminous efficacy values are usually included the technical data of the lighting fixtures. </t>
  </si>
  <si>
    <t>• Technical data of the heat pump water heating systems installed showing the COP values</t>
  </si>
  <si>
    <t>W-3 Drinking Water</t>
  </si>
  <si>
    <t>• Manufacturer's data for each water efficient fixtures installed showing the water usage of the fixture (flowrate, flush size and/or water use per load)</t>
  </si>
  <si>
    <t xml:space="preserve">• Landscape plan outlining the proposed landscape design with a list of all plants </t>
  </si>
  <si>
    <t>• If an efficient irrigation system is used: description of all proposed water saving irrigation fixtures and drawings showing location</t>
  </si>
  <si>
    <t>• If using water recycling, reuse or rainwater harvesting: schematic drawings of proposed reticulation network</t>
  </si>
  <si>
    <t>• Product technical data showing the types of filters contained in the water filtration system</t>
  </si>
  <si>
    <t>As a minimum the filtration system should contain filters that can remove:</t>
  </si>
  <si>
    <r>
      <t>Total area of windows and doors in the project (m</t>
    </r>
    <r>
      <rPr>
        <vertAlign val="superscript"/>
        <sz val="11"/>
        <color theme="0"/>
        <rFont val="Arial"/>
        <family val="2"/>
      </rPr>
      <t>2</t>
    </r>
    <r>
      <rPr>
        <sz val="11"/>
        <color theme="0"/>
        <rFont val="Arial"/>
        <family val="2"/>
      </rPr>
      <t>)</t>
    </r>
  </si>
  <si>
    <r>
      <t>Area of windows and doors made up of sustainable materials (m</t>
    </r>
    <r>
      <rPr>
        <vertAlign val="superscript"/>
        <sz val="11"/>
        <color theme="0"/>
        <rFont val="Arial"/>
        <family val="2"/>
      </rPr>
      <t>2</t>
    </r>
    <r>
      <rPr>
        <sz val="11"/>
        <color theme="0"/>
        <rFont val="Arial"/>
        <family val="2"/>
      </rPr>
      <t>)</t>
    </r>
  </si>
  <si>
    <r>
      <rPr>
        <sz val="10"/>
        <rFont val="Calibri"/>
        <family val="2"/>
      </rPr>
      <t>•</t>
    </r>
    <r>
      <rPr>
        <sz val="10"/>
        <rFont val="Arial"/>
        <family val="2"/>
      </rPr>
      <t xml:space="preserve"> kitchens;</t>
    </r>
  </si>
  <si>
    <t>Each of these rooms must meet the requirements on either continuous local ventilation exhaust, intermittent local ventilation exhaust or openable windows:</t>
  </si>
  <si>
    <t>Select the type of ventilation exhaust which is installed between:</t>
  </si>
  <si>
    <t xml:space="preserve">Complete the Table below for each room considered in the credit: </t>
  </si>
  <si>
    <r>
      <rPr>
        <i/>
        <sz val="10"/>
        <rFont val="Calibri"/>
        <family val="2"/>
      </rPr>
      <t>•</t>
    </r>
    <r>
      <rPr>
        <i/>
        <sz val="10"/>
        <rFont val="Arial"/>
        <family val="2"/>
      </rPr>
      <t xml:space="preserve"> ILVE for Intermittent Local Ventilation Exhaust (the local exhaust system should be designed to be operated as needed by the occupant)</t>
    </r>
  </si>
  <si>
    <r>
      <rPr>
        <i/>
        <sz val="10"/>
        <rFont val="Calibri"/>
        <family val="2"/>
        <scheme val="minor"/>
      </rPr>
      <t>•</t>
    </r>
    <r>
      <rPr>
        <i/>
        <sz val="10"/>
        <rFont val="Arial"/>
        <family val="2"/>
      </rPr>
      <t xml:space="preserve"> CLVE for Continuous Local Ventilation Exhaust (the local exhaust system should operate continuously and automatically)</t>
    </r>
  </si>
  <si>
    <t>• Elevations and plans marking all operable wall and roof openings with their size</t>
  </si>
  <si>
    <t>• Photographs of the exhaust fans installed and photographs of the operable windows in bathrooms and toilets</t>
  </si>
  <si>
    <t>• Technical data of the exhaust fans installed showing capacity</t>
  </si>
  <si>
    <t>• Technical data of the lighting fixtures showing lumen output</t>
  </si>
  <si>
    <t>• Results of the calculations of the reverberation time</t>
  </si>
  <si>
    <t>The following materials are considered as sustainable materials under this credit:</t>
  </si>
  <si>
    <t>Select and install windows and doors made up of sustainable materials</t>
  </si>
  <si>
    <t>Only window frames, doors and door frames shall be considered in this credit.</t>
  </si>
  <si>
    <r>
      <t>Calculation is based on the area of the window frames, doors and door frames (m</t>
    </r>
    <r>
      <rPr>
        <vertAlign val="superscript"/>
        <sz val="10"/>
        <rFont val="Arial"/>
        <family val="2"/>
      </rPr>
      <t>2</t>
    </r>
    <r>
      <rPr>
        <sz val="10"/>
        <rFont val="Arial"/>
        <family val="2"/>
      </rPr>
      <t>)</t>
    </r>
  </si>
  <si>
    <t>3. Enquiries</t>
  </si>
  <si>
    <t>2. How to use this tool?</t>
  </si>
  <si>
    <t>Symbols used in the tool:</t>
  </si>
  <si>
    <t>Requirements</t>
  </si>
  <si>
    <t>Recommendations</t>
  </si>
  <si>
    <t>Definitions</t>
  </si>
  <si>
    <t>Careful</t>
  </si>
  <si>
    <t>SUBMISSION STAGE</t>
  </si>
  <si>
    <t>BUILDING GENERAL INFORMATION</t>
  </si>
  <si>
    <t>MASTER PLAN GENERAL INFORMATION</t>
  </si>
  <si>
    <t>Complete the table below with information on all the building structure materials:</t>
  </si>
  <si>
    <t>Complete the table below with information on all the window frames, doors and door frames installed in the project</t>
  </si>
  <si>
    <t>Select and install sustainable flooring materials</t>
  </si>
  <si>
    <t>Complete the table below with information on all the furniture items installed in the project</t>
  </si>
  <si>
    <t>User Tool</t>
  </si>
  <si>
    <t>Reply to the questions below:</t>
  </si>
  <si>
    <t>- AND / OR -</t>
  </si>
  <si>
    <t>• Elevations marking all wall openings with their size</t>
  </si>
  <si>
    <t>• Plans showing the air flow paths and the distances between openings</t>
  </si>
  <si>
    <t>• Technical data and/or photographs showing that the units feature inverter technology</t>
  </si>
  <si>
    <t>• Technical data and/or photographs showing the cooling capacity and power input of the air-conditioning systems installed</t>
  </si>
  <si>
    <t>• Drawings of the glazing system indicating type of glazing -OR- elevation indicating the type of glazing installed</t>
  </si>
  <si>
    <t>• Technical data of the glazing systems installed showing the type of glass used</t>
  </si>
  <si>
    <t>• Plans and elevations indicating the types of solid surfaces</t>
  </si>
  <si>
    <t xml:space="preserve">• For surfaces with high solar reflectivity, technical data or evidence justifying the high solar reflectivity value. </t>
  </si>
  <si>
    <t>• Calculations of the U-values of external walls and roof</t>
  </si>
  <si>
    <t>• Drawings of the external wall and roof assemblies indicating materials used</t>
  </si>
  <si>
    <t>• Technical data of the glazing systems installed indicating SHGC values</t>
  </si>
  <si>
    <t>• Evidence that the aforementioned glazing systems are installed such as photographs, invoices, etc.</t>
  </si>
  <si>
    <t>• Photographs of the facades showing the glazing areas</t>
  </si>
  <si>
    <t>• Elevations showing the glazing areas and their size</t>
  </si>
  <si>
    <t>• Photographs of the facades</t>
  </si>
  <si>
    <t>• Elevations showing the size of the facades.</t>
  </si>
  <si>
    <t>• Plans and elevations showing the shading devices and their size</t>
  </si>
  <si>
    <t>• Photographs of the facades showing the shading devices</t>
  </si>
  <si>
    <t>Light power density (LPD) is the ratio of the power required to provide artificial lighting to the gross floor area of lighted spaces</t>
  </si>
  <si>
    <t>Power used by lamps, ballasts, current regulators and control devices should be included.</t>
  </si>
  <si>
    <t xml:space="preserve">• AAC blocks, </t>
  </si>
  <si>
    <t xml:space="preserve">• lightweight hollow blocks </t>
  </si>
  <si>
    <t>• materials, techniques with an equivalent performance (subject to VGBC approval)</t>
  </si>
  <si>
    <t>Complete the Table below with information on all the air-conditioning systems installed in the building:</t>
  </si>
  <si>
    <t>Reply to the questions below on the drinking water filtration system:</t>
  </si>
  <si>
    <t>• Photographs of the basic services</t>
  </si>
  <si>
    <t>• Map or plan indicating position of the mass transit service within a 400m or 800 m radius of the building site</t>
  </si>
  <si>
    <t>• Photographs showing prior development of the site or showing adjoining existing development</t>
  </si>
  <si>
    <t>• Photographs showing the site prior construction -OR- site’s land use right certificate -OR- Site development history approved by local authority</t>
  </si>
  <si>
    <t xml:space="preserve">Locate building within an existing urban area with pedestrian access to a variety of basic services. </t>
  </si>
  <si>
    <t>Locate building within a close distance to mass transit services</t>
  </si>
  <si>
    <t xml:space="preserve">Locate building on a site adjoining existing development or on a site that was previously developed. </t>
  </si>
  <si>
    <t>Cover roof area with the following items to contribute to the reduction of the urban heat island effect:</t>
  </si>
  <si>
    <t>Cover paved (hardscape) area with the following items to contribute to the reduction of the urban heat island effect:</t>
  </si>
  <si>
    <t>• Evidence that the aforementioned equipment were installed such as photographs, etc.</t>
  </si>
  <si>
    <t>• Site plan highlighting the vegetated areas</t>
  </si>
  <si>
    <t>• Photographs of the vegetation</t>
  </si>
  <si>
    <t>• Evidence of the pot plants installed such as photographs.</t>
  </si>
  <si>
    <t>Maximize landscape areas and favour native or adapted vegetation</t>
  </si>
  <si>
    <r>
      <rPr>
        <u/>
        <sz val="10"/>
        <rFont val="Arial"/>
        <family val="2"/>
      </rPr>
      <t>Exception:</t>
    </r>
    <r>
      <rPr>
        <sz val="10"/>
        <rFont val="Arial"/>
        <family val="2"/>
      </rPr>
      <t xml:space="preserve"> if a green roof is installed, green roof should be included in the calculation.</t>
    </r>
  </si>
  <si>
    <t>• Use permeable hardscaping materials such as: permeable paving blocks, open grid pavements, porous asphalt/concrete, unbound gravel, wood, mulch, etc.</t>
  </si>
  <si>
    <t xml:space="preserve">Perform the calculations below based on paved and roof area: </t>
  </si>
  <si>
    <t>Areas covered with mechanical equipment are deducted from calculations.</t>
  </si>
  <si>
    <t>• Site plan highlighting the different landscape and hardscape areas (and green roof, if any)</t>
  </si>
  <si>
    <t>• Photographs of the different landscape and hardscape areas (and green roof, if any)</t>
  </si>
  <si>
    <t xml:space="preserve">• Site plan highlighting the different roof and paved areas </t>
  </si>
  <si>
    <t>• Photographs of the different roof and paved areas</t>
  </si>
  <si>
    <t>• Local flood risk identification statement including flood map or  a location plan identifying possible sources of water inundation</t>
  </si>
  <si>
    <t xml:space="preserve">• If there is a flood risk: Photographs, site plan or narratives showing and explaining the strategies employed to increase the building’s ability to resist flood damage. </t>
  </si>
  <si>
    <t>• Photographs of the site at the end of construction</t>
  </si>
  <si>
    <t>• Provide a site analysis plan or complete the table above</t>
  </si>
  <si>
    <t>• Photographs showing the existing site layout</t>
  </si>
  <si>
    <t>Compliant refrigerants selection?</t>
  </si>
  <si>
    <t>• Is there any flood risk for the site?</t>
  </si>
  <si>
    <t>Reply to the question below:</t>
  </si>
  <si>
    <t>Complete the Table below with information on the strategies employed to increase the building’s ability to resist flood damage:</t>
  </si>
  <si>
    <t>Strategies</t>
  </si>
  <si>
    <t>Employed?</t>
  </si>
  <si>
    <t>Compliant flood risk mitigation?</t>
  </si>
  <si>
    <r>
      <t>Total compliant area (m</t>
    </r>
    <r>
      <rPr>
        <vertAlign val="superscript"/>
        <sz val="11"/>
        <color theme="0"/>
        <rFont val="Arial"/>
        <family val="2"/>
      </rPr>
      <t>2</t>
    </r>
    <r>
      <rPr>
        <sz val="11"/>
        <color theme="0"/>
        <rFont val="Arial"/>
        <family val="2"/>
      </rPr>
      <t>)</t>
    </r>
  </si>
  <si>
    <r>
      <t>Total roof and paved area (m</t>
    </r>
    <r>
      <rPr>
        <vertAlign val="superscript"/>
        <sz val="11"/>
        <color theme="0"/>
        <rFont val="Arial"/>
        <family val="2"/>
      </rPr>
      <t>2</t>
    </r>
    <r>
      <rPr>
        <sz val="11"/>
        <color theme="0"/>
        <rFont val="Arial"/>
        <family val="2"/>
      </rPr>
      <t>)</t>
    </r>
  </si>
  <si>
    <t>Complete the information below on the vegetated area:</t>
  </si>
  <si>
    <r>
      <t>Total GFA (m</t>
    </r>
    <r>
      <rPr>
        <vertAlign val="superscript"/>
        <sz val="10"/>
        <color theme="0"/>
        <rFont val="Arial"/>
        <family val="2"/>
      </rPr>
      <t>2</t>
    </r>
    <r>
      <rPr>
        <sz val="10"/>
        <color theme="0"/>
        <rFont val="Arial"/>
        <family val="2"/>
      </rPr>
      <t>)</t>
    </r>
  </si>
  <si>
    <r>
      <t>Total rooftop area (m</t>
    </r>
    <r>
      <rPr>
        <vertAlign val="superscript"/>
        <sz val="10"/>
        <color theme="0"/>
        <rFont val="Arial"/>
        <family val="2"/>
      </rPr>
      <t>2</t>
    </r>
    <r>
      <rPr>
        <sz val="10"/>
        <color theme="0"/>
        <rFont val="Arial"/>
        <family val="2"/>
      </rPr>
      <t>)</t>
    </r>
  </si>
  <si>
    <t>• Is a site analysis plan provided?</t>
  </si>
  <si>
    <t>Reply to the questions in the 2 Tables below:</t>
  </si>
  <si>
    <t>If YES is chosen for any question in Table 1, the site is determined as high eco-value land and the credit is not met.</t>
  </si>
  <si>
    <r>
      <t>If NO is chosen for all questions in Table 1, proceed to Table 2 of this checklist.</t>
    </r>
    <r>
      <rPr>
        <b/>
        <i/>
        <sz val="10"/>
        <rFont val="Arial"/>
        <family val="2"/>
      </rPr>
      <t xml:space="preserve"> </t>
    </r>
  </si>
  <si>
    <t>If YES is answered for at least one of the questions in Table 2, the site can be defined as having low-ecological value</t>
  </si>
  <si>
    <t>Table 2: Type of land to be used for the new buildings, hard surfaces, landscaping or for site access</t>
  </si>
  <si>
    <t>1. Is the land/site identified as habitat of endangered or vulnerable or threatened species (according to IUCN Red List, international research or Vietnam Red List)?</t>
  </si>
  <si>
    <t>2. Is the land/site identified as nursery ground supporting a diverse group of species?</t>
  </si>
  <si>
    <t>3. Are there any natural lakes, streams or rivers on/running through the site?</t>
  </si>
  <si>
    <t xml:space="preserve">4. Is there any marsh, wetland or riparian wetland present on the site?  </t>
  </si>
  <si>
    <t xml:space="preserve">5. Is there any indigenous/protected/functional forest present on the site? </t>
  </si>
  <si>
    <t>6. Does the site consist of virgin/undeveloped land with wild habitat?</t>
  </si>
  <si>
    <t>1. Has the land been included in the government urban development plan?</t>
  </si>
  <si>
    <t>2. Does the development site consist of land which is entirely within the floor plan(s) of existing building(s) or building(s) demolished within the past 5 years?</t>
  </si>
  <si>
    <t>3. Does the development site consist of land which is entirely covered by other development such as sporting hard surfaces, car parking or such constructions which have been demolished within the past 5 years?</t>
  </si>
  <si>
    <t>4. Does the development site consist of land which is contaminated by industrial or other waste to the extent that it would need remediation before building?</t>
  </si>
  <si>
    <t>5. Does the site consist of land which is a mixture of existing building, paved surfaces and/or contaminated land?</t>
  </si>
  <si>
    <t>6. Has 80% of the land within the development site been used for Intensive farming for at least the last 3 years?</t>
  </si>
  <si>
    <t>7. Has the development site consisted entirely of bare ground -OR- consisted of regularly cut lawns and/or sports fields for more than 2 years?</t>
  </si>
  <si>
    <t>Table 1: Critical ecological features of the site</t>
  </si>
  <si>
    <t>Distance should be measured on a radial basis from the basic service location to the closest corner of the building site.</t>
  </si>
  <si>
    <t>Do not select a site with significant ecological value</t>
  </si>
  <si>
    <r>
      <rPr>
        <b/>
        <sz val="10"/>
        <rFont val="Arial"/>
        <family val="2"/>
      </rPr>
      <t>Strategy A: Site with low-ecological value</t>
    </r>
    <r>
      <rPr>
        <sz val="10"/>
        <rFont val="Arial"/>
        <family val="2"/>
      </rPr>
      <t xml:space="preserve">
Do not situate building on a site with high-eco value</t>
    </r>
  </si>
  <si>
    <t>Strategy A: Site with low-ecological value</t>
  </si>
  <si>
    <t>Site with low-ecological value?</t>
  </si>
  <si>
    <t>• Is project adjoining existing development?</t>
  </si>
  <si>
    <t>• Is the project located on a site that was previously developed ?</t>
  </si>
  <si>
    <t>Infill or a redevelopment site?</t>
  </si>
  <si>
    <t>Distance should be measured on a radial basis from the service location to the closest corner of the building site.</t>
  </si>
  <si>
    <r>
      <rPr>
        <b/>
        <sz val="10"/>
        <rFont val="Arial"/>
        <family val="2"/>
      </rPr>
      <t>Strategy C: Mass transit Transport</t>
    </r>
    <r>
      <rPr>
        <sz val="10"/>
        <rFont val="Arial"/>
        <family val="2"/>
      </rPr>
      <t xml:space="preserve">
For 1 point, Locate building within 800m of mass transit services 
For 2 points, Locate building within 400m of mass transit services</t>
    </r>
  </si>
  <si>
    <t>• Has the LOTUS AP contributed to the project from design to completion of construction?</t>
  </si>
  <si>
    <t>• Has a LOTUS AP been involved in the project team?</t>
  </si>
  <si>
    <t>• Have all the strategies in credit CM-2 Construction Management been implemented?</t>
  </si>
  <si>
    <t>Prepare and implement a Construction Management Plan covering all the strategies in credit CM-2 Construction Management</t>
  </si>
  <si>
    <t>Complete the information below on the Eco-Charrette:</t>
  </si>
  <si>
    <t>An Eco-Charrette is an interactive, multi-stakeholder, team-building exercise that explores the key green building and green development aspects of a project before any design decisions are made. Through this process, stakeholders work together to generate and target green building and sustainability goals prior to developing a more detailed approach. This is usually a minimum one-day facilitated meeting but is highly dependent on the size and complexity of the project.</t>
  </si>
  <si>
    <t>An Eco-charrette must be held during the design stage of the project.</t>
  </si>
  <si>
    <t>Complete the Table below with information on the construction and demolition wastes:</t>
  </si>
  <si>
    <t>A construction and demolition waste minimisation strategy must include the following:</t>
  </si>
  <si>
    <t>• Identification and classification of all sources of waste</t>
  </si>
  <si>
    <t>• Strategies to reduce the generation of waste on site</t>
  </si>
  <si>
    <t>• Strategies to reuse waste directly on site</t>
  </si>
  <si>
    <t>• Strategies to reuse, salvage or recycle waste off site</t>
  </si>
  <si>
    <t>• Disposal locations of all waste (recycling facilities, reuse location, landfill, etc.)</t>
  </si>
  <si>
    <t>Complete the information below on the construction noise mitigation strategies:</t>
  </si>
  <si>
    <t>Select and install low-flow water fixtures in the building.</t>
  </si>
  <si>
    <t>To be considered as low-flow water fixtures, water fixtures must comply with the following requirements:</t>
  </si>
  <si>
    <t xml:space="preserve">• WCs: dual flush with flushrate lower than (or equal to) 3 / 4.5 litres per flush </t>
  </si>
  <si>
    <t>• Shower heads: flowrate lower than (or equal to) 0.14 litres per second</t>
  </si>
  <si>
    <t>• Bathroom and kitchen taps: flowrate lower than (or equal to) 0.12 litres per second</t>
  </si>
  <si>
    <t>• Schematics showing the water distribution system</t>
  </si>
  <si>
    <t>Fixture</t>
  </si>
  <si>
    <t>1 full-flush / 3 half-flushes</t>
  </si>
  <si>
    <t>Lavatory Faucet</t>
  </si>
  <si>
    <t>Shower</t>
  </si>
  <si>
    <t>Kitchen Sink</t>
  </si>
  <si>
    <t>Clothes washer</t>
  </si>
  <si>
    <t>Fixtures Water Use</t>
  </si>
  <si>
    <t>WC (single/dual flush)</t>
  </si>
  <si>
    <t>6.0 L per flush (Lpf)</t>
  </si>
  <si>
    <t>Faucet (conventional)</t>
  </si>
  <si>
    <t>0.14 L/s</t>
  </si>
  <si>
    <t>Showerheads</t>
  </si>
  <si>
    <t>0.16 L/s</t>
  </si>
  <si>
    <t>Kitchen faucet</t>
  </si>
  <si>
    <t xml:space="preserve">Select low-flow water fixtures to reduce domestic water consumption through fixtures </t>
  </si>
  <si>
    <t xml:space="preserve">The aim of this calculation is to compare the building’s water consumption through fixtures to a baseline model. </t>
  </si>
  <si>
    <t>Complete the Table below with information on the water fixtures installed in the building:</t>
  </si>
  <si>
    <t>• Low flow shower heads installed?</t>
  </si>
  <si>
    <t>• Low flow kitchen and bathroom taps installed?</t>
  </si>
  <si>
    <t>• Does it provide real-time feedback on energy consumption ?</t>
  </si>
  <si>
    <t>• Does it have an in-house visual display and/or have the ability to communicate the information to a PC ?</t>
  </si>
  <si>
    <t>• Does it provide a function to analyse data at regular intervals (daily, weekly, monthly or yearly) ?</t>
  </si>
  <si>
    <t>Complete the Table below with information on the energy control solutions installed:</t>
  </si>
  <si>
    <t>• Evidence showing that the energy control solutions are installed such as photographs, invoices, etc.</t>
  </si>
  <si>
    <t>• Evidence showing that an energy monitor is installed such as photographs, invoices, etc.</t>
  </si>
  <si>
    <t>Complete the information below on the renewable energy systems installed:</t>
  </si>
  <si>
    <t>• Is a renewable electricity generation system installed on-site?</t>
  </si>
  <si>
    <t>• Which renewable energy sources are used?</t>
  </si>
  <si>
    <t>• What is the power output of the renewable electricity generation system? (kW or kWp for PV)</t>
  </si>
  <si>
    <t xml:space="preserve">Produce energy with a renewable electricity generation system installed on-site. </t>
  </si>
  <si>
    <t>• Evidence showing that the renewable electricity generation systems are installed such as photographs, invoices, etc.</t>
  </si>
  <si>
    <t>Building’s average OTTV surpasses VBEEC requirements by 40%</t>
  </si>
  <si>
    <t xml:space="preserve">Overall Thermal Transfer Value (OTTV) is a factor that determines the thermal transfer permissible into the building through its walls, roof and windows due to solar heat gain and outdoor-indoor temperature difference. </t>
  </si>
  <si>
    <t>Use the OTTV calculation tool provided by VGBC to calculate the building’s average OTTV.</t>
  </si>
  <si>
    <t>• Evidence showing the power output of the renewable electricity generation systems installed such as technical data, photographs, etc.</t>
  </si>
  <si>
    <t>Install a rainwater harvesting system to catch rainwater falling on the roof</t>
  </si>
  <si>
    <t>Reply to the following questions to provide information on the rainwater harvesting system installed</t>
  </si>
  <si>
    <t>Complete the information below on the reuse/recycling water system:</t>
  </si>
  <si>
    <t>Orientate the building in such way to limit the size of the west and east facing facades.</t>
  </si>
  <si>
    <t xml:space="preserve">The west facing facade is defined as the facades oriented within the range of 45 degrees North of West and 45 degrees South of West </t>
  </si>
  <si>
    <t>East facing facade is defined similarly as the facades oriented within the range of 45 degrees North of East and 45 degrees South of East</t>
  </si>
  <si>
    <t>Complete the information below on building facades:</t>
  </si>
  <si>
    <r>
      <t>East facade area (m</t>
    </r>
    <r>
      <rPr>
        <vertAlign val="superscript"/>
        <sz val="10"/>
        <color theme="0"/>
        <rFont val="Arial"/>
        <family val="2"/>
      </rPr>
      <t>2</t>
    </r>
    <r>
      <rPr>
        <sz val="10"/>
        <color theme="0"/>
        <rFont val="Arial"/>
        <family val="2"/>
      </rPr>
      <t xml:space="preserve">) </t>
    </r>
  </si>
  <si>
    <r>
      <t>West facade area (m</t>
    </r>
    <r>
      <rPr>
        <vertAlign val="superscript"/>
        <sz val="10"/>
        <color theme="0"/>
        <rFont val="Arial"/>
        <family val="2"/>
      </rPr>
      <t>2</t>
    </r>
    <r>
      <rPr>
        <sz val="10"/>
        <color theme="0"/>
        <rFont val="Arial"/>
        <family val="2"/>
      </rPr>
      <t xml:space="preserve">) </t>
    </r>
  </si>
  <si>
    <r>
      <t>North facade area (m</t>
    </r>
    <r>
      <rPr>
        <vertAlign val="superscript"/>
        <sz val="10"/>
        <color theme="0"/>
        <rFont val="Arial"/>
        <family val="2"/>
      </rPr>
      <t>2</t>
    </r>
    <r>
      <rPr>
        <sz val="10"/>
        <color theme="0"/>
        <rFont val="Arial"/>
        <family val="2"/>
      </rPr>
      <t xml:space="preserve">) </t>
    </r>
  </si>
  <si>
    <r>
      <t>South facade area (m</t>
    </r>
    <r>
      <rPr>
        <vertAlign val="superscript"/>
        <sz val="10"/>
        <color theme="0"/>
        <rFont val="Arial"/>
        <family val="2"/>
      </rPr>
      <t>2</t>
    </r>
    <r>
      <rPr>
        <sz val="10"/>
        <color theme="0"/>
        <rFont val="Arial"/>
        <family val="2"/>
      </rPr>
      <t xml:space="preserve">) </t>
    </r>
  </si>
  <si>
    <r>
      <t>Total facade area (m</t>
    </r>
    <r>
      <rPr>
        <vertAlign val="superscript"/>
        <sz val="11"/>
        <color theme="0"/>
        <rFont val="Arial"/>
        <family val="2"/>
      </rPr>
      <t>2</t>
    </r>
    <r>
      <rPr>
        <sz val="11"/>
        <color theme="0"/>
        <rFont val="Arial"/>
        <family val="2"/>
      </rPr>
      <t xml:space="preserve">) </t>
    </r>
  </si>
  <si>
    <t>If the building has no west and/or east facing facades, enter 0 in both glazing area and façade area.</t>
  </si>
  <si>
    <t>Complete the Table below with information on glazing:</t>
  </si>
  <si>
    <t>Source: Table 2.4 of QCVN 09:2013 - VBEEC</t>
  </si>
  <si>
    <t xml:space="preserve">Select a properly sized heat pump water heating system with a COP value higher than VBEEC requirements </t>
  </si>
  <si>
    <t>Select and install energy efficient equipment and appliances in the interior project space.</t>
  </si>
  <si>
    <t xml:space="preserve">• Other labels may be accepted under VGBC approval. </t>
  </si>
  <si>
    <t>Complete the table below with information on all the appliances and equipment installed in the project and considered under this credit.</t>
  </si>
  <si>
    <t xml:space="preserve">Select and install external walls made with any or any combination of the following: </t>
  </si>
  <si>
    <t xml:space="preserve">Select and install roof assemblies made with any or any combination of the following: </t>
  </si>
  <si>
    <t xml:space="preserve">• an air layer of at least 40mm, </t>
  </si>
  <si>
    <t>• a fixed sunshade (it must be installed at a minimum clearance of 0.3 m from the roof surface to have ventilation between the roof and the sunshade),</t>
  </si>
  <si>
    <t>• a green roof,</t>
  </si>
  <si>
    <t xml:space="preserve">Select and install glazing systems which are any of the following: </t>
  </si>
  <si>
    <r>
      <t xml:space="preserve">• a layer of insulation material (thermal conductivity </t>
    </r>
    <r>
      <rPr>
        <sz val="10"/>
        <rFont val="Calibri"/>
        <family val="2"/>
      </rPr>
      <t>≤</t>
    </r>
    <r>
      <rPr>
        <sz val="10"/>
        <rFont val="Arial"/>
        <family val="2"/>
      </rPr>
      <t xml:space="preserve"> 0.05 W/m.K) with a thickness of at least 40mm,</t>
    </r>
  </si>
  <si>
    <t>• a layer of insulation material (thermal conductivity ≤  0.05 W/m.K) with a thickness of at least 40mm,</t>
  </si>
  <si>
    <t>• Evidence showing the materials used for the external walls assemblies such as as-built drawings, photographs, etc.</t>
  </si>
  <si>
    <t>• Evidence showing the materials used for the roof assemblies such as as-built drawings, photographs, etc.</t>
  </si>
  <si>
    <t>But compared to solar control glass, double glazed glass have a better thermal performance and help to limit heat transfer through windows.</t>
  </si>
  <si>
    <t xml:space="preserve">• solar control glass, </t>
  </si>
  <si>
    <t xml:space="preserve">• Solar control glass is a glass provided with a solar control coating that allows sunlight to pass through a window or façade while radiating and reflecting away a large degree of the sun’s heat. </t>
  </si>
  <si>
    <t>• 95% of the solid roof surface meet any or any combination of the following:</t>
  </si>
  <si>
    <t>In order to limit solar radiation on solid roof AND walls of the building:</t>
  </si>
  <si>
    <t xml:space="preserve">- Have a Roof solar reflectivity &gt; 0.7 </t>
  </si>
  <si>
    <t xml:space="preserve">- Be a green roof </t>
  </si>
  <si>
    <t xml:space="preserve">- Have external shadings (PV panels and solar collectors can be considered external shadings for opaque roofs). </t>
  </si>
  <si>
    <t>- AND -</t>
  </si>
  <si>
    <t xml:space="preserve">- Have a solar reflectivity &gt; 0.4 </t>
  </si>
  <si>
    <t>- Be green walls</t>
  </si>
  <si>
    <t>- Have external shadings</t>
  </si>
  <si>
    <t>• 95% of the solid walls surface should meet any or any combination of the following:</t>
  </si>
  <si>
    <t>As solar reflectivity values are not always provided by manufacturers, under this strategy, all white-coloured solid surfaces will be considered as having a solar reflectivity higher than 0.7.</t>
  </si>
  <si>
    <t>Complete the Tables below with information on all solid surfaces:</t>
  </si>
  <si>
    <t xml:space="preserve">Solid roof area limiting solar radiation (%) </t>
  </si>
  <si>
    <t xml:space="preserve">Solid wall area limiting solar radiation (%) </t>
  </si>
  <si>
    <t>• As-built drawings and specifications</t>
  </si>
  <si>
    <t>• Instructions for building operation and maintenance (including health and safety
information, general instructions for efficient operation and periodical maintenance)</t>
  </si>
  <si>
    <t>• Schedule of all equipment</t>
  </si>
  <si>
    <t>• Commissioning and testing results (if any)</t>
  </si>
  <si>
    <t>• Guarantees, warranties and certificates</t>
  </si>
  <si>
    <t>Reply to the questions below on the Building Operation &amp; Maintenance Manual:</t>
  </si>
  <si>
    <t>If yes, does it include the following?</t>
  </si>
  <si>
    <t>Implement a Neighbourhood Impact Plan with adequate measures to reduce construction impacts on neighbouring properties</t>
  </si>
  <si>
    <t>• Plan showing the common access points, storage areas and location for construction vehicles to be stationed</t>
  </si>
  <si>
    <t>• Site master plan showing the locations of waste collection, toilet facilities and rest areas.</t>
  </si>
  <si>
    <t>• Ensure storage areas for any construction materials and waste are not blocking common access</t>
  </si>
  <si>
    <t>• Ensure construction vehicles are not blocking access to neighbouring properties</t>
  </si>
  <si>
    <r>
      <t>Area of the room 
(m</t>
    </r>
    <r>
      <rPr>
        <vertAlign val="superscript"/>
        <sz val="10"/>
        <color indexed="9"/>
        <rFont val="Arial"/>
        <family val="2"/>
      </rPr>
      <t>2</t>
    </r>
    <r>
      <rPr>
        <sz val="10"/>
        <color indexed="9"/>
        <rFont val="Arial"/>
        <family val="2"/>
      </rPr>
      <t>)</t>
    </r>
  </si>
  <si>
    <r>
      <t>Area of the operable window (m</t>
    </r>
    <r>
      <rPr>
        <vertAlign val="superscript"/>
        <sz val="10"/>
        <color indexed="9"/>
        <rFont val="Arial"/>
        <family val="2"/>
      </rPr>
      <t>2</t>
    </r>
    <r>
      <rPr>
        <sz val="10"/>
        <color indexed="9"/>
        <rFont val="Arial"/>
        <family val="2"/>
      </rPr>
      <t>)</t>
    </r>
  </si>
  <si>
    <t>Complete the table below with information on all the interior paints and coatings installed by the project:</t>
  </si>
  <si>
    <t>Complete the table below with information on all the interior adhesives and sealants installed by the project:</t>
  </si>
  <si>
    <t xml:space="preserve">• Materials with at least 10% pre-consumer or 5% post-consumer recycled content </t>
  </si>
  <si>
    <t>Calculation is based either on volume or mass.</t>
  </si>
  <si>
    <t xml:space="preserve">Calculation is based on the number of furniture items </t>
  </si>
  <si>
    <t>Furniture items</t>
  </si>
  <si>
    <t>Select and install sustainable furniture items</t>
  </si>
  <si>
    <t xml:space="preserve">For 1 point, 25% of all furniture items are sustainable
For 2 points, 50% of all furniture items are sustainable </t>
  </si>
  <si>
    <t>Number of sustainable furniture items</t>
  </si>
  <si>
    <t>Number of furniture items</t>
  </si>
  <si>
    <t>Select and use sustainable materials for the non-structural walls.</t>
  </si>
  <si>
    <t>Select and use sustainable materials for the building structure.</t>
  </si>
  <si>
    <t>Calculation is based on the area of the non-structural wall items.</t>
  </si>
  <si>
    <t>Complete the table below with information on all the materials used for the non-structural walls:</t>
  </si>
  <si>
    <r>
      <t>Example: With a brick wall of 10 m</t>
    </r>
    <r>
      <rPr>
        <i/>
        <vertAlign val="superscript"/>
        <sz val="10"/>
        <rFont val="Arial"/>
        <family val="2"/>
      </rPr>
      <t>2</t>
    </r>
    <r>
      <rPr>
        <i/>
        <sz val="10"/>
        <rFont val="Arial"/>
        <family val="2"/>
      </rPr>
      <t xml:space="preserve"> covered by ceramic tiles on 5 m</t>
    </r>
    <r>
      <rPr>
        <i/>
        <vertAlign val="superscript"/>
        <sz val="10"/>
        <rFont val="Arial"/>
        <family val="2"/>
      </rPr>
      <t>2</t>
    </r>
    <r>
      <rPr>
        <i/>
        <sz val="10"/>
        <rFont val="Arial"/>
        <family val="2"/>
      </rPr>
      <t>: a total of 15 m</t>
    </r>
    <r>
      <rPr>
        <i/>
        <vertAlign val="superscript"/>
        <sz val="10"/>
        <rFont val="Arial"/>
        <family val="2"/>
      </rPr>
      <t>2</t>
    </r>
    <r>
      <rPr>
        <i/>
        <sz val="10"/>
        <rFont val="Arial"/>
        <family val="2"/>
      </rPr>
      <t xml:space="preserve"> would be entered in the table below.</t>
    </r>
  </si>
  <si>
    <t>Non-baked Material</t>
  </si>
  <si>
    <t>Local material</t>
  </si>
  <si>
    <t>Material with recycled content</t>
  </si>
  <si>
    <t>Reused material</t>
  </si>
  <si>
    <t>Rapidly renewable material</t>
  </si>
  <si>
    <t>Sustainable timber material</t>
  </si>
  <si>
    <t xml:space="preserve">• Reused materials (metal roofing, tiles and slate, wood sheathing, shingles, etc.  can all be reused) </t>
  </si>
  <si>
    <t>Calculation is based on the area of flooring items</t>
  </si>
  <si>
    <r>
      <t>Area of sustainable flooring items (m</t>
    </r>
    <r>
      <rPr>
        <vertAlign val="superscript"/>
        <sz val="11"/>
        <color theme="0"/>
        <rFont val="Arial"/>
        <family val="2"/>
      </rPr>
      <t>2</t>
    </r>
    <r>
      <rPr>
        <sz val="11"/>
        <color theme="0"/>
        <rFont val="Arial"/>
        <family val="2"/>
      </rPr>
      <t>)</t>
    </r>
  </si>
  <si>
    <r>
      <t>Total area of flooring items (m</t>
    </r>
    <r>
      <rPr>
        <vertAlign val="superscript"/>
        <sz val="11"/>
        <color theme="0"/>
        <rFont val="Arial"/>
        <family val="2"/>
      </rPr>
      <t>2</t>
    </r>
    <r>
      <rPr>
        <sz val="11"/>
        <color theme="0"/>
        <rFont val="Arial"/>
        <family val="2"/>
      </rPr>
      <t>)</t>
    </r>
  </si>
  <si>
    <t>Complete the table below with information on all the flooring items installed in the project</t>
  </si>
  <si>
    <t xml:space="preserve">Non-baked material </t>
  </si>
  <si>
    <t>Exposed Concrete</t>
  </si>
  <si>
    <t>Before introducing the different sheets composing this User Tool, please note these  important considerations:</t>
  </si>
  <si>
    <t>The bottom of the skylight is measured from the bottom of the skylight well for skylights having wells, or the bottom of the skylight if no skylight well exists.</t>
  </si>
  <si>
    <r>
      <rPr>
        <i/>
        <sz val="10"/>
        <color rgb="FF943634"/>
        <rFont val="Arial"/>
        <family val="2"/>
      </rPr>
      <t>Figure H.1</t>
    </r>
    <r>
      <rPr>
        <i/>
        <sz val="10"/>
        <rFont val="Arial"/>
        <family val="2"/>
      </rPr>
      <t>: Measurement of the sidelit daylit area (top view)</t>
    </r>
  </si>
  <si>
    <t>For the purpose of determining the skylit daylit zone, the geometric shape of the skylit daylit zone shall be identical to the plan view geometric shape of the rough opening of the skylight; for example, for a rectangular skylight the skylit daylit zone plan area shall be rectangular, and for a circular skylight the skylit daylit zone plan area shall be circular.</t>
  </si>
  <si>
    <t>Daylit zone area is defined as the sum of the sidelit daylit area and the skylit daylit area:</t>
  </si>
  <si>
    <r>
      <t>Sidelit daylit area (m</t>
    </r>
    <r>
      <rPr>
        <vertAlign val="superscript"/>
        <sz val="10"/>
        <color indexed="9"/>
        <rFont val="Arial"/>
        <family val="2"/>
      </rPr>
      <t>2</t>
    </r>
    <r>
      <rPr>
        <sz val="10"/>
        <color indexed="9"/>
        <rFont val="Arial"/>
        <family val="2"/>
      </rPr>
      <t>)</t>
    </r>
  </si>
  <si>
    <r>
      <t>Skylit daylit area (m</t>
    </r>
    <r>
      <rPr>
        <vertAlign val="superscript"/>
        <sz val="10"/>
        <color indexed="9"/>
        <rFont val="Arial"/>
        <family val="2"/>
      </rPr>
      <t>2</t>
    </r>
    <r>
      <rPr>
        <sz val="10"/>
        <color indexed="9"/>
        <rFont val="Arial"/>
        <family val="2"/>
      </rPr>
      <t>)</t>
    </r>
  </si>
  <si>
    <t xml:space="preserve">Daylight factor (DF) is the ratio of the light level inside a room to the light level outdoors.
It is used to assess the internal natural lighting levels as perceived on working planes or surfaces. </t>
  </si>
  <si>
    <t>Natural light promoting designs strategies include:</t>
  </si>
  <si>
    <t>• Light shelves (horizontal surfaces that reflect daylight deep into a building)</t>
  </si>
  <si>
    <t>• Open plan design</t>
  </si>
  <si>
    <t>• Window and skylight arrangement</t>
  </si>
  <si>
    <t>Calculations for this credit can be done using a daylight modelling software or using spreadsheet calculations:</t>
  </si>
  <si>
    <t>Select the calculation method pursued:</t>
  </si>
  <si>
    <t>VLT</t>
  </si>
  <si>
    <t>Click on the links on the
 right to navigate to other 
Health &amp; Comfort credits</t>
  </si>
  <si>
    <t>Average DF [%]</t>
  </si>
  <si>
    <t xml:space="preserve">Average DF [%]
(from modelling) </t>
  </si>
  <si>
    <t>• Evidence showing the thermal performance of the materials used such as manufacturer’s published data, photographs, etc.</t>
  </si>
  <si>
    <t>• Automated shadings to optimise the use of daylight and minimise solar heat gains</t>
  </si>
  <si>
    <t>• Plug load controls to automatically turn receptacles off and on as needed</t>
  </si>
  <si>
    <t>Installation locations</t>
  </si>
  <si>
    <t>• Type of water reused</t>
  </si>
  <si>
    <t>• Reused water to cover which water demand?</t>
  </si>
  <si>
    <t>• Estimation of the quantity of water collected (litres)</t>
  </si>
  <si>
    <t>• Estimation of the water demand (litres)</t>
  </si>
  <si>
    <t>• Other solutions may be applied but shall be subject to VGBC approval</t>
  </si>
  <si>
    <t>• For which water uses the rainwater harvested will be used?</t>
  </si>
  <si>
    <t>• Which method of after-storage treatment has been used?</t>
  </si>
  <si>
    <t>• Which method of pre-storage treatment has been used?</t>
  </si>
  <si>
    <r>
      <t>• What is the size of the storage tank (m</t>
    </r>
    <r>
      <rPr>
        <vertAlign val="superscript"/>
        <sz val="10"/>
        <rFont val="Arial"/>
        <family val="2"/>
      </rPr>
      <t>3</t>
    </r>
    <r>
      <rPr>
        <sz val="10"/>
        <rFont val="Arial"/>
        <family val="2"/>
      </rPr>
      <t>) ?</t>
    </r>
  </si>
  <si>
    <r>
      <t>• What is the downspout area (m</t>
    </r>
    <r>
      <rPr>
        <vertAlign val="superscript"/>
        <sz val="10"/>
        <rFont val="Arial"/>
        <family val="2"/>
      </rPr>
      <t>2</t>
    </r>
    <r>
      <rPr>
        <sz val="10"/>
        <rFont val="Arial"/>
        <family val="2"/>
      </rPr>
      <t>) ?</t>
    </r>
  </si>
  <si>
    <r>
      <t>• What is the size of the catchment area (m</t>
    </r>
    <r>
      <rPr>
        <vertAlign val="superscript"/>
        <sz val="10"/>
        <rFont val="Arial"/>
        <family val="2"/>
      </rPr>
      <t>2</t>
    </r>
    <r>
      <rPr>
        <sz val="10"/>
        <rFont val="Arial"/>
        <family val="2"/>
      </rPr>
      <t>) ?</t>
    </r>
  </si>
  <si>
    <t>• Photographs showing the different components of the water reuse system (storage tank, treatment methods, distribution pumps, etc.)</t>
  </si>
  <si>
    <t>• Description of the use of non-domestic water</t>
  </si>
  <si>
    <t>• Is non-domestic water used for watering?</t>
  </si>
  <si>
    <r>
      <t>• Estimation of the quantity of non-domestic water used for watering (m</t>
    </r>
    <r>
      <rPr>
        <vertAlign val="superscript"/>
        <sz val="10"/>
        <rFont val="Arial"/>
        <family val="2"/>
      </rPr>
      <t>3</t>
    </r>
    <r>
      <rPr>
        <sz val="10"/>
        <rFont val="Arial"/>
        <family val="2"/>
      </rPr>
      <t>)</t>
    </r>
  </si>
  <si>
    <r>
      <t>The soft landscape water demand benchmark for Vietnam is 1.1 m</t>
    </r>
    <r>
      <rPr>
        <b/>
        <vertAlign val="superscript"/>
        <sz val="10"/>
        <rFont val="Arial"/>
        <family val="2"/>
      </rPr>
      <t>3</t>
    </r>
    <r>
      <rPr>
        <b/>
        <sz val="10"/>
        <rFont val="Arial"/>
        <family val="2"/>
      </rPr>
      <t>/m</t>
    </r>
    <r>
      <rPr>
        <b/>
        <vertAlign val="superscript"/>
        <sz val="10"/>
        <rFont val="Arial"/>
        <family val="2"/>
      </rPr>
      <t>2</t>
    </r>
    <r>
      <rPr>
        <b/>
        <sz val="10"/>
        <rFont val="Arial"/>
        <family val="2"/>
      </rPr>
      <t>/year.</t>
    </r>
  </si>
  <si>
    <t>Reduce the amount of domestic water used for landscaping compared to benchmark consumption.</t>
  </si>
  <si>
    <t>The amount of domestic water used for irrigation can be reduced through a number of different strategies:</t>
  </si>
  <si>
    <r>
      <rPr>
        <sz val="10"/>
        <rFont val="Calibri"/>
        <family val="2"/>
      </rPr>
      <t>•</t>
    </r>
    <r>
      <rPr>
        <sz val="10"/>
        <rFont val="Arial"/>
        <family val="2"/>
      </rPr>
      <t xml:space="preserve"> Water Efficient Irrigation</t>
    </r>
  </si>
  <si>
    <r>
      <rPr>
        <sz val="10"/>
        <rFont val="Calibri"/>
        <family val="2"/>
      </rPr>
      <t>•</t>
    </r>
    <r>
      <rPr>
        <sz val="10"/>
        <rFont val="Arial"/>
        <family val="2"/>
      </rPr>
      <t xml:space="preserve"> Irrigation with Recycled/Reused Water and/or Harvested Rainwater</t>
    </r>
  </si>
  <si>
    <t>• Is any efficient irrigation system used?</t>
  </si>
  <si>
    <t>• Description of the efficient irrigation system</t>
  </si>
  <si>
    <t>• Has the use of grass been minimised?</t>
  </si>
  <si>
    <t>• If yes, using which alternatives?</t>
  </si>
  <si>
    <t>• Has a drinking water filtration system been installed?</t>
  </si>
  <si>
    <t xml:space="preserve">• Plant climate adapted plants (native or non-native to Vietnam) to reduce irrigation requirements. </t>
  </si>
  <si>
    <t xml:space="preserve">• Plant Climate adapted plants. Some examples of climate adapted (drought resistant) plants are: </t>
  </si>
  <si>
    <t>- Unthirsty groundcover</t>
  </si>
  <si>
    <t>- Hardscapes</t>
  </si>
  <si>
    <t>- Rock gardens</t>
  </si>
  <si>
    <t>Select plants to minimise water demand for irrigation:</t>
  </si>
  <si>
    <t>- Plants of Acacia genus: Acacia auriculiformis and Acacia mangiumare (the two most popular species of the Acacia genus in Vietnam)</t>
  </si>
  <si>
    <t>• Reduce lawn areas planted with grass</t>
  </si>
  <si>
    <t xml:space="preserve">• Reduce lawn areas planted with grass. Consider alternatives such as: </t>
  </si>
  <si>
    <t>Complete the information below on plant selection:</t>
  </si>
  <si>
    <r>
      <t>• What is the area of lawn with grass? (m</t>
    </r>
    <r>
      <rPr>
        <vertAlign val="superscript"/>
        <sz val="10"/>
        <rFont val="Arial"/>
        <family val="2"/>
      </rPr>
      <t>2</t>
    </r>
    <r>
      <rPr>
        <sz val="10"/>
        <rFont val="Arial"/>
        <family val="2"/>
      </rPr>
      <t>)</t>
    </r>
  </si>
  <si>
    <t>Building structure material</t>
  </si>
  <si>
    <r>
      <t>Area of sustainable non-structural wall items (m</t>
    </r>
    <r>
      <rPr>
        <vertAlign val="superscript"/>
        <sz val="11"/>
        <color theme="0"/>
        <rFont val="Arial"/>
        <family val="2"/>
      </rPr>
      <t>2</t>
    </r>
    <r>
      <rPr>
        <sz val="11"/>
        <color theme="0"/>
        <rFont val="Arial"/>
        <family val="2"/>
      </rPr>
      <t>)</t>
    </r>
  </si>
  <si>
    <r>
      <t>Total area of non-structural wall items (m</t>
    </r>
    <r>
      <rPr>
        <vertAlign val="superscript"/>
        <sz val="11"/>
        <color theme="0"/>
        <rFont val="Arial"/>
        <family val="2"/>
      </rPr>
      <t>2</t>
    </r>
    <r>
      <rPr>
        <sz val="11"/>
        <color theme="0"/>
        <rFont val="Arial"/>
        <family val="2"/>
      </rPr>
      <t>)</t>
    </r>
  </si>
  <si>
    <t>steep slope</t>
  </si>
  <si>
    <t>• Has a local flood risk identification statement for the site been prepared?</t>
  </si>
  <si>
    <t>Prepare a local flood risk identification statement for the site</t>
  </si>
  <si>
    <t>If there is a flood risk, some of the following strategies should be employed to increase the building’s ability to resist flood damage.</t>
  </si>
  <si>
    <r>
      <t>A</t>
    </r>
    <r>
      <rPr>
        <vertAlign val="subscript"/>
        <sz val="10"/>
        <color theme="0"/>
        <rFont val="Arial"/>
        <family val="2"/>
      </rPr>
      <t>site</t>
    </r>
    <r>
      <rPr>
        <sz val="10"/>
        <color theme="0"/>
        <rFont val="Arial"/>
        <family val="2"/>
      </rPr>
      <t xml:space="preserve"> = Total site area minus building footprints not covered by a green roof [m</t>
    </r>
    <r>
      <rPr>
        <vertAlign val="superscript"/>
        <sz val="10"/>
        <color theme="0"/>
        <rFont val="Arial"/>
        <family val="2"/>
      </rPr>
      <t>2</t>
    </r>
    <r>
      <rPr>
        <sz val="10"/>
        <color theme="0"/>
        <rFont val="Arial"/>
        <family val="2"/>
      </rPr>
      <t>]</t>
    </r>
  </si>
  <si>
    <t>After selecting the credits, make sure that the project will comply with all credit requirements.</t>
  </si>
  <si>
    <t>• Have the common access points for the site and neighbouring properties been identified?</t>
  </si>
  <si>
    <t>Complete the information below on the construction worker management:</t>
  </si>
  <si>
    <t>Complete the information below on the stormwater pollution prevention, erosion and sediment control:</t>
  </si>
  <si>
    <t>Reply to the questions and complete the information below:</t>
  </si>
  <si>
    <t>Perform the calculations below taking into account the entire site area and excluding the building footprint area:</t>
  </si>
  <si>
    <t>Outdoor pot plants can also be considered in this strategy. Use the area of the opening at the top of the pot for the calculations.</t>
  </si>
  <si>
    <t>Enter the calculated values of reverberation time in the table below:</t>
  </si>
  <si>
    <t>Select materials with good thermal insulation properties to exceed VBEEC requirements on U-values.</t>
  </si>
  <si>
    <t>U-value is the thermal transmittance expressed in W/m².K. It describes how well a building element conducts heat. The lower the U-value, the less heat will be transferred.</t>
  </si>
  <si>
    <r>
      <t>VBEEC requirements: U-value of external walls should be lower than 1.8 W/m</t>
    </r>
    <r>
      <rPr>
        <vertAlign val="superscript"/>
        <sz val="10"/>
        <color theme="1"/>
        <rFont val="Arial"/>
        <family val="2"/>
      </rPr>
      <t>2</t>
    </r>
    <r>
      <rPr>
        <sz val="10"/>
        <color theme="1"/>
        <rFont val="Arial"/>
        <family val="2"/>
      </rPr>
      <t>.K and U-value of roofs should be lower than 1 W/m</t>
    </r>
    <r>
      <rPr>
        <vertAlign val="superscript"/>
        <sz val="10"/>
        <color theme="1"/>
        <rFont val="Arial"/>
        <family val="2"/>
      </rPr>
      <t>2</t>
    </r>
    <r>
      <rPr>
        <sz val="10"/>
        <color theme="1"/>
        <rFont val="Arial"/>
        <family val="2"/>
      </rPr>
      <t>.K.</t>
    </r>
  </si>
  <si>
    <t>Complete the tables below with calculated U-values: 
(U-values can be extracted from the tool 'LOTUS Calculator - OTTV calculation' or calculated separately.)</t>
  </si>
  <si>
    <r>
      <t>U-value (W/m</t>
    </r>
    <r>
      <rPr>
        <vertAlign val="superscript"/>
        <sz val="10"/>
        <color indexed="9"/>
        <rFont val="Arial"/>
        <family val="2"/>
      </rPr>
      <t>2</t>
    </r>
    <r>
      <rPr>
        <sz val="10"/>
        <color indexed="9"/>
        <rFont val="Arial"/>
        <family val="2"/>
      </rPr>
      <t>.K)</t>
    </r>
  </si>
  <si>
    <r>
      <t>Area of façade (m</t>
    </r>
    <r>
      <rPr>
        <vertAlign val="superscript"/>
        <sz val="10"/>
        <color indexed="9"/>
        <rFont val="Arial"/>
        <family val="2"/>
      </rPr>
      <t>2</t>
    </r>
    <r>
      <rPr>
        <sz val="10"/>
        <color indexed="9"/>
        <rFont val="Arial"/>
        <family val="2"/>
      </rPr>
      <t>)</t>
    </r>
  </si>
  <si>
    <r>
      <t>Area of roof (m</t>
    </r>
    <r>
      <rPr>
        <vertAlign val="superscript"/>
        <sz val="10"/>
        <color indexed="9"/>
        <rFont val="Arial"/>
        <family val="2"/>
      </rPr>
      <t>2</t>
    </r>
    <r>
      <rPr>
        <sz val="10"/>
        <color indexed="9"/>
        <rFont val="Arial"/>
        <family val="2"/>
      </rPr>
      <t>)</t>
    </r>
  </si>
  <si>
    <t>Façades</t>
  </si>
  <si>
    <t>Overall:</t>
  </si>
  <si>
    <t>Glossary</t>
  </si>
  <si>
    <t>Application and Registration</t>
  </si>
  <si>
    <t>Documentation</t>
  </si>
  <si>
    <t>• complete all the information and perform all the calculations required in the credits</t>
  </si>
  <si>
    <t xml:space="preserve">The User Tool has been developed in such a way that the users only need to fill in some relevant information about the project and all the results are displayed automatically. </t>
  </si>
  <si>
    <t>Submission Folder</t>
  </si>
  <si>
    <t>Category Folders</t>
  </si>
  <si>
    <t xml:space="preserve">Within each of the 7 category folders, include the supporting evidence for the credits of the category that are pursued. </t>
  </si>
  <si>
    <r>
      <t xml:space="preserve">Email: </t>
    </r>
    <r>
      <rPr>
        <u/>
        <sz val="11"/>
        <color rgb="FFFFFFFF"/>
        <rFont val="Arial"/>
        <family val="2"/>
      </rPr>
      <t>certification@vgbc.org.vn</t>
    </r>
  </si>
  <si>
    <t>1. Project Information</t>
  </si>
  <si>
    <t>Project name</t>
  </si>
  <si>
    <t>Project address</t>
  </si>
  <si>
    <t>Building type</t>
  </si>
  <si>
    <t>Describe type of works</t>
  </si>
  <si>
    <t>Brief project description and major design features
(images can be attached to this form and sent by email)</t>
  </si>
  <si>
    <t>Number of storeys</t>
  </si>
  <si>
    <t>Expected construction start date</t>
  </si>
  <si>
    <t>Expected completion date</t>
  </si>
  <si>
    <t xml:space="preserve">Is the project confidential?  </t>
  </si>
  <si>
    <t>2. Project Owner Information</t>
  </si>
  <si>
    <t>Phone</t>
  </si>
  <si>
    <t>Mobile phone</t>
  </si>
  <si>
    <t>Address</t>
  </si>
  <si>
    <t>Email address</t>
  </si>
  <si>
    <t>Organization</t>
  </si>
  <si>
    <t>As the project owner (or the Applicant Representative), I understand the following:</t>
  </si>
  <si>
    <t>Documentation provided must accurately represent the project. The VGBC can request additional documentation from the project team to verify the environmental initiatives being claimed.</t>
  </si>
  <si>
    <t>5. Application/Submission</t>
  </si>
  <si>
    <t>Signature of the Owner or Representative</t>
  </si>
  <si>
    <t>Billing Address</t>
  </si>
  <si>
    <t>Date of submission</t>
  </si>
  <si>
    <t>• The application will not be processed unless this form is duly completed.</t>
  </si>
  <si>
    <t>• The applicant will be informed of the non-refundable registration fees which will be paid upon acceptance of the application form.</t>
  </si>
  <si>
    <t>• A notification of payment document will be issued once the Application has been approved. 
The registration fee must be made within 5 working days as soon as the applicant receives this document</t>
  </si>
  <si>
    <t>• Registration is not finalised until all fees and agreements have been completed.</t>
  </si>
  <si>
    <t>Please send the duly completed form to:</t>
  </si>
  <si>
    <t>Vietnam Green Building Council</t>
  </si>
  <si>
    <r>
      <rPr>
        <sz val="11"/>
        <rFont val="Symbol"/>
        <family val="1"/>
        <charset val="2"/>
      </rPr>
      <t>®</t>
    </r>
    <r>
      <rPr>
        <sz val="11"/>
        <rFont val="Calibri"/>
        <family val="2"/>
        <scheme val="minor"/>
      </rPr>
      <t xml:space="preserve"> Only light red-coloured cells need to be filled (this is valid for the whole User Tool)</t>
    </r>
  </si>
  <si>
    <r>
      <rPr>
        <sz val="11"/>
        <rFont val="Symbol"/>
        <family val="1"/>
        <charset val="2"/>
      </rPr>
      <t>®</t>
    </r>
    <r>
      <rPr>
        <sz val="11"/>
        <rFont val="Calibri"/>
        <family val="2"/>
      </rPr>
      <t xml:space="preserve"> </t>
    </r>
    <r>
      <rPr>
        <sz val="11"/>
        <rFont val="Calibri"/>
        <family val="2"/>
        <scheme val="minor"/>
      </rPr>
      <t>When clicking on these cells, additional information may be provided to help completing the cells</t>
    </r>
  </si>
  <si>
    <r>
      <t>Project size (Gross Floor Area in m</t>
    </r>
    <r>
      <rPr>
        <vertAlign val="superscript"/>
        <sz val="11"/>
        <color theme="1"/>
        <rFont val="Arial"/>
        <family val="2"/>
      </rPr>
      <t>2</t>
    </r>
    <r>
      <rPr>
        <sz val="11"/>
        <color theme="1"/>
        <rFont val="Arial"/>
        <family val="2"/>
      </rPr>
      <t>, excluding car park areas)</t>
    </r>
  </si>
  <si>
    <t>3. Applicant Representative (if any) *</t>
  </si>
  <si>
    <t>Organization stamp (if any):</t>
  </si>
  <si>
    <t>Organization (if any)</t>
  </si>
  <si>
    <t>Round 1</t>
  </si>
  <si>
    <t xml:space="preserve">Applicants must fully complete the User Tool and make sure to provide all required documentation (as specified in the 'Submissions' sections of each credit) to the VGBC. </t>
  </si>
  <si>
    <t>Round 2</t>
  </si>
  <si>
    <t xml:space="preserve">In case that submission for any credit submitted for LOTUS Certification is denied, or if the Applicant would like the opportunity to score higher for that credit, a second round of submissions for re-assessment is available to projects. </t>
  </si>
  <si>
    <t>Results of the assessment will be provided to the Applicant Representative within 4 weeks of the submission date. In special cases further appeals and/or applications may be permitted, however these may generate additional fees.</t>
  </si>
  <si>
    <t>Select glazing materials with SHGC values lower than the values required by VBEEC (Table E.3 below)</t>
  </si>
  <si>
    <r>
      <t>Area of glazing (m</t>
    </r>
    <r>
      <rPr>
        <vertAlign val="superscript"/>
        <sz val="10"/>
        <color indexed="9"/>
        <rFont val="Arial"/>
        <family val="2"/>
      </rPr>
      <t>2</t>
    </r>
    <r>
      <rPr>
        <sz val="10"/>
        <color indexed="9"/>
        <rFont val="Arial"/>
        <family val="2"/>
      </rPr>
      <t>)</t>
    </r>
  </si>
  <si>
    <r>
      <rPr>
        <sz val="10"/>
        <color rgb="FF58B527"/>
        <rFont val="Arial"/>
        <family val="2"/>
      </rPr>
      <t>Table E.3</t>
    </r>
    <r>
      <rPr>
        <sz val="10"/>
        <rFont val="Arial"/>
        <family val="2"/>
      </rPr>
      <t>: Maximum SHGC values of glazing for different WWR and orientations (Source: Table 2.3 of QCVN 09:2013)</t>
    </r>
  </si>
  <si>
    <r>
      <rPr>
        <sz val="10"/>
        <color rgb="FF58B527"/>
        <rFont val="Arial"/>
        <family val="2"/>
      </rPr>
      <t>Table</t>
    </r>
    <r>
      <rPr>
        <sz val="10"/>
        <rFont val="Arial"/>
        <family val="2"/>
      </rPr>
      <t>: A coefficient for consistent horizontal sunshades placed on or above the upper window edge</t>
    </r>
  </si>
  <si>
    <t>Source: Table 2.5 of QCVN 09:2013 - VBEEC</t>
  </si>
  <si>
    <r>
      <rPr>
        <sz val="10"/>
        <color rgb="FF58B527"/>
        <rFont val="Arial"/>
        <family val="2"/>
      </rPr>
      <t>Table</t>
    </r>
    <r>
      <rPr>
        <sz val="10"/>
        <rFont val="Arial"/>
        <family val="2"/>
      </rPr>
      <t>: A coefficient for consistent vertical sunshades placed on or next to a window side by a clearance e, with e/B &lt; 0.1</t>
    </r>
  </si>
  <si>
    <t>1) Dimensions:</t>
  </si>
  <si>
    <t xml:space="preserve">      b – reach of sunshade; </t>
  </si>
  <si>
    <t xml:space="preserve">      H – window height;  </t>
  </si>
  <si>
    <t xml:space="preserve">      d – clearance from upper window edge to lower sunshade contact; </t>
  </si>
  <si>
    <t xml:space="preserve">     b, d and H share the same dimension for length.</t>
  </si>
  <si>
    <t>2) Applicable for sunshades placed above the upper window edge by a clearance d, with d/H ≤ 0.1 – tolerance of less than 10%.</t>
  </si>
  <si>
    <t>b – reach of vertical sunshade;</t>
  </si>
  <si>
    <t>B – window width;</t>
  </si>
  <si>
    <t>e – clearance from window side to vertical sunshade inner contact;</t>
  </si>
  <si>
    <t>b, e and B share the same dimension for length.</t>
  </si>
  <si>
    <t>2) Applicable also for vertical sunshades placed by a clearance e from the window side, with e/B ≤ 0.1, tolerance of less than 10%.</t>
  </si>
  <si>
    <t>Horizontal sunshades</t>
  </si>
  <si>
    <t>Vertical Sunshades</t>
  </si>
  <si>
    <t xml:space="preserve">- Plant native and/or climate adapted plants </t>
  </si>
  <si>
    <t>- Reduce lawn area</t>
  </si>
  <si>
    <t xml:space="preserve">- Drip or bubble irrigation systems that apply water directly to the roots of plants. </t>
  </si>
  <si>
    <t>For VGBC Use</t>
  </si>
  <si>
    <r>
      <rPr>
        <sz val="10"/>
        <rFont val="Calibri"/>
        <family val="2"/>
      </rPr>
      <t>•</t>
    </r>
    <r>
      <rPr>
        <sz val="10"/>
        <rFont val="Arial"/>
        <family val="2"/>
      </rPr>
      <t xml:space="preserve"> Xeriscaping Landscape</t>
    </r>
  </si>
  <si>
    <t>- Mulch regularly</t>
  </si>
  <si>
    <t>- Irrigation systems fitted with timers</t>
  </si>
  <si>
    <t>Provide a Site Analysis considering local environmental conditions.</t>
  </si>
  <si>
    <t>Compliant Site analysis?</t>
  </si>
  <si>
    <t>If no site analysis plan is provided, the table below should be completed:</t>
  </si>
  <si>
    <r>
      <rPr>
        <i/>
        <sz val="10"/>
        <color rgb="FF943634"/>
        <rFont val="Arial"/>
        <family val="2"/>
      </rPr>
      <t>Figure H.2</t>
    </r>
    <r>
      <rPr>
        <i/>
        <sz val="10"/>
        <rFont val="Arial"/>
        <family val="2"/>
      </rPr>
      <t>: Measurement of the skylit daylit area with an obstruction height less than half the ceiling height</t>
    </r>
  </si>
  <si>
    <r>
      <rPr>
        <i/>
        <sz val="10"/>
        <color rgb="FF943634"/>
        <rFont val="Arial"/>
        <family val="2"/>
      </rPr>
      <t>Figure H.3</t>
    </r>
    <r>
      <rPr>
        <i/>
        <sz val="10"/>
        <rFont val="Arial"/>
        <family val="2"/>
      </rPr>
      <t>: Measurement of the skylit daylit area with an obstruction height more than half the ceiling height</t>
    </r>
  </si>
  <si>
    <t>• Naturally ventilated spaces:</t>
  </si>
  <si>
    <t>List and area of glazing elements</t>
  </si>
  <si>
    <r>
      <t>Total glazing area (m</t>
    </r>
    <r>
      <rPr>
        <vertAlign val="superscript"/>
        <sz val="10"/>
        <color theme="0"/>
        <rFont val="Arial"/>
        <family val="2"/>
      </rPr>
      <t>2</t>
    </r>
    <r>
      <rPr>
        <sz val="10"/>
        <color theme="0"/>
        <rFont val="Arial"/>
        <family val="2"/>
      </rPr>
      <t xml:space="preserve">) </t>
    </r>
  </si>
  <si>
    <r>
      <t>Facade area (m</t>
    </r>
    <r>
      <rPr>
        <vertAlign val="superscript"/>
        <sz val="10"/>
        <color theme="0"/>
        <rFont val="Arial"/>
        <family val="2"/>
      </rPr>
      <t>2</t>
    </r>
    <r>
      <rPr>
        <sz val="10"/>
        <color theme="0"/>
        <rFont val="Arial"/>
        <family val="2"/>
      </rPr>
      <t xml:space="preserve">) </t>
    </r>
  </si>
  <si>
    <r>
      <rPr>
        <sz val="10"/>
        <color rgb="FF58B527"/>
        <rFont val="Arial"/>
        <family val="2"/>
      </rPr>
      <t>Figure E.1</t>
    </r>
    <r>
      <rPr>
        <sz val="10"/>
        <rFont val="Arial"/>
        <family val="2"/>
      </rPr>
      <t>: Definition of the different facing façades</t>
    </r>
  </si>
  <si>
    <r>
      <rPr>
        <sz val="10"/>
        <color rgb="FF58B527"/>
        <rFont val="Arial"/>
        <family val="2"/>
      </rPr>
      <t>Table E.4</t>
    </r>
    <r>
      <rPr>
        <sz val="10"/>
        <rFont val="Arial"/>
        <family val="2"/>
      </rPr>
      <t>: Minimum COP requirements for direct electric air conditioners (VBEEC Table 2.6)</t>
    </r>
  </si>
  <si>
    <t xml:space="preserve">Complete the Table below with information on all the lighting fixtures in the building (including task lights) </t>
  </si>
  <si>
    <t>Compliant solar hot water system?</t>
  </si>
  <si>
    <t>• Has a solar hot water system been installed to cover the hot water demand of the house?</t>
  </si>
  <si>
    <t>• Has a heat pump water heating system been installed to cover the hot water demand of the house?</t>
  </si>
  <si>
    <t>Select a properly sized solar water heating system</t>
  </si>
  <si>
    <t>• What is the capacity of the solar hot water system? (liters)</t>
  </si>
  <si>
    <t>Complete the Table below with information on the heat pump water heating equipment installed:</t>
  </si>
  <si>
    <t>• Evidence that the aforementioned water efficient fixtures have been installed such as photographs, receipts, etc.</t>
  </si>
  <si>
    <t>• Evidence showing that the materials installed are sustainable such as photographs, manufacturer’s data, etc</t>
  </si>
  <si>
    <t>• Evidence showing that the aforementioned materials were installed such as photographs, invoices, receipts, etc.</t>
  </si>
  <si>
    <t>• Evidence showing that the furniture items installed are sustainable such as photographs, manufacturer’s data, etc</t>
  </si>
  <si>
    <t>• Evidence showing that the aforementioned furniture items were installed such as photographs, invoices, receipts, etc.</t>
  </si>
  <si>
    <t>• Photographs showing the different components of the rainwater harvesting system (catchment area, gutters, storage tank, treatment methods, distribution pumps, etc.)</t>
  </si>
  <si>
    <t>• Evidence showing that the materials used in the calculations were installed such as photographs, invoices, etc.</t>
  </si>
  <si>
    <t>Current Submission stage</t>
  </si>
  <si>
    <t>Number of pot plants</t>
  </si>
  <si>
    <t>Plant unit number</t>
  </si>
  <si>
    <r>
      <rPr>
        <sz val="10"/>
        <color theme="1"/>
        <rFont val="Calibri"/>
        <family val="2"/>
      </rPr>
      <t>&lt;</t>
    </r>
    <r>
      <rPr>
        <sz val="10"/>
        <color theme="1"/>
        <rFont val="Arial"/>
        <family val="2"/>
      </rPr>
      <t xml:space="preserve"> 100</t>
    </r>
  </si>
  <si>
    <r>
      <rPr>
        <sz val="10"/>
        <color theme="1"/>
        <rFont val="Calibri"/>
        <family val="2"/>
      </rPr>
      <t xml:space="preserve">≥ </t>
    </r>
    <r>
      <rPr>
        <sz val="10"/>
        <color theme="1"/>
        <rFont val="Arial"/>
        <family val="2"/>
      </rPr>
      <t xml:space="preserve">100 and &lt; 200 </t>
    </r>
  </si>
  <si>
    <t>≥ 200 and &lt; 250</t>
  </si>
  <si>
    <t>≥ 250 and &lt; 320</t>
  </si>
  <si>
    <t>≥ 320 and &lt; 400</t>
  </si>
  <si>
    <t>≥ 400 and &lt; 550</t>
  </si>
  <si>
    <t>≥ 550</t>
  </si>
  <si>
    <t>Bed &amp; Vertical Planting</t>
  </si>
  <si>
    <t>Determine number of equivalent pots based on a width of 250mm.</t>
  </si>
  <si>
    <t>• Furniture made from rapidly renewable materials, such as: bamboo, cork, coconut, etc. (rapidly renewable materials should exceed 50% of the furniture by mass)</t>
  </si>
  <si>
    <t>• Furniture made from timber coming from sustainable sources (sustainable timber should exceed 50% of the furniture by mass)</t>
  </si>
  <si>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the energy consumption of domestic water heating by using solar or heat pump water heating systems.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37 of the LOTUS Homes Pilot -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Choose to follow either Option A: Solar water heating </t>
    </r>
    <r>
      <rPr>
        <b/>
        <sz val="11"/>
        <color rgb="FFFF0000"/>
        <rFont val="Arial"/>
        <family val="2"/>
      </rPr>
      <t>OR</t>
    </r>
    <r>
      <rPr>
        <b/>
        <sz val="11"/>
        <color theme="1" tint="0.249977111117893"/>
        <rFont val="Arial"/>
        <family val="2"/>
      </rPr>
      <t xml:space="preserve"> Option B: Heat pump water heating. 
Read all the instructions and complete the information in the light red-coloured cells.</t>
    </r>
  </si>
  <si>
    <t>• Evidence showing the involvement of a LOTUS AP from design to completion of construction</t>
  </si>
  <si>
    <t>• Evidence showing that at least 2 different activities to promote general public awareness have been conducted such as photographs, newspaper extracts, etc.</t>
  </si>
  <si>
    <r>
      <t>Openings have an openable area more than 1 m</t>
    </r>
    <r>
      <rPr>
        <vertAlign val="superscript"/>
        <sz val="10"/>
        <color indexed="9"/>
        <rFont val="Arial"/>
        <family val="2"/>
      </rPr>
      <t>2</t>
    </r>
    <r>
      <rPr>
        <sz val="10"/>
        <color indexed="9"/>
        <rFont val="Arial"/>
        <family val="2"/>
      </rPr>
      <t xml:space="preserve"> ?</t>
    </r>
  </si>
  <si>
    <t>• Technical data and/or photographs showing the number of stars under VNEEP labelling of the air-conditioning units installed</t>
  </si>
  <si>
    <t>• Evidence of the solar water heater installed such as photographs, invoices, receipts, etc.</t>
  </si>
  <si>
    <t>• Evidence of the heat pump water heating system installed such as photographs, invoices, receipts, etc.</t>
  </si>
  <si>
    <t>• Evidence of the air-conditioning units were installed such as photographs, invoices, etc.</t>
  </si>
  <si>
    <t xml:space="preserve">• Landscape plan outlining the landscape design with a list of all plants </t>
  </si>
  <si>
    <t xml:space="preserve">• Evidence of the efficient irrigation system such as photographs, manufacturer's data, etc. </t>
  </si>
  <si>
    <t>• Evidence of the water filtration system installed such as photographs, invoices, etc.</t>
  </si>
  <si>
    <t>At Certification stage, for each credit pursued, supporting evidence for the credit should be submitted. The list of documents to provide is given in the Submissions section of credits.</t>
  </si>
  <si>
    <t>• Non-baked Materials such as concrete blocks, gypsum panels, aerated autoclaved concrete, etc.</t>
  </si>
  <si>
    <t>Local materials</t>
  </si>
  <si>
    <t>Sustainable item?</t>
  </si>
  <si>
    <r>
      <t>Total Site Area (m</t>
    </r>
    <r>
      <rPr>
        <vertAlign val="superscript"/>
        <sz val="11"/>
        <color theme="1"/>
        <rFont val="Arial"/>
        <family val="2"/>
      </rPr>
      <t>2</t>
    </r>
    <r>
      <rPr>
        <sz val="11"/>
        <color theme="1"/>
        <rFont val="Arial"/>
        <family val="2"/>
      </rPr>
      <t>)</t>
    </r>
  </si>
  <si>
    <t>Flush Rate
[Lpf]</t>
  </si>
  <si>
    <t>Install a water efficient irrigation system among the following:</t>
  </si>
  <si>
    <t>• Hand watering using a watering can or a nozzle to control the flow.</t>
  </si>
  <si>
    <t>Measures implemented for erosion control</t>
  </si>
  <si>
    <t>Measures implemented for sedimentation control</t>
  </si>
  <si>
    <t>Compliant heat pump water heating system?</t>
  </si>
  <si>
    <t>Note: At least, 2 different types of climate-adapted plants should be used.</t>
  </si>
  <si>
    <t>Water reused for irrigation ?</t>
  </si>
  <si>
    <t>Water reused for WC flushing ?</t>
  </si>
  <si>
    <t>Pot plant units are calculated based on the width at the opening of the pot in accordance with Table LE.5.</t>
  </si>
  <si>
    <r>
      <rPr>
        <i/>
        <sz val="10"/>
        <color rgb="FF76923C"/>
        <rFont val="Arial"/>
        <family val="2"/>
      </rPr>
      <t>Table LE.5</t>
    </r>
    <r>
      <rPr>
        <i/>
        <sz val="10"/>
        <color theme="1"/>
        <rFont val="Arial"/>
        <family val="2"/>
      </rPr>
      <t xml:space="preserve">: </t>
    </r>
    <r>
      <rPr>
        <i/>
        <sz val="10"/>
        <rFont val="Arial"/>
        <family val="2"/>
      </rPr>
      <t xml:space="preserve">Equivalence between plant unit number and width at the opening of the pot </t>
    </r>
  </si>
  <si>
    <r>
      <t>Total balconies area (m</t>
    </r>
    <r>
      <rPr>
        <vertAlign val="superscript"/>
        <sz val="10"/>
        <color theme="0"/>
        <rFont val="Arial"/>
        <family val="2"/>
      </rPr>
      <t>2</t>
    </r>
    <r>
      <rPr>
        <sz val="10"/>
        <color theme="0"/>
        <rFont val="Arial"/>
        <family val="2"/>
      </rPr>
      <t>)</t>
    </r>
  </si>
  <si>
    <r>
      <rPr>
        <b/>
        <sz val="10"/>
        <rFont val="Arial"/>
        <family val="2"/>
      </rPr>
      <t>Strategy B: Pot Plants</t>
    </r>
    <r>
      <rPr>
        <sz val="10"/>
        <rFont val="Arial"/>
        <family val="2"/>
      </rPr>
      <t xml:space="preserve">
For 1 point, provide 1 pot plant unit for every 10 m</t>
    </r>
    <r>
      <rPr>
        <vertAlign val="superscript"/>
        <sz val="10"/>
        <rFont val="Arial"/>
        <family val="2"/>
      </rPr>
      <t>2</t>
    </r>
    <r>
      <rPr>
        <sz val="10"/>
        <rFont val="Arial"/>
        <family val="2"/>
      </rPr>
      <t xml:space="preserve"> of GFA, balconies and rooftop area
For 2 points, provide 1 pot plant unit for every 5 m</t>
    </r>
    <r>
      <rPr>
        <vertAlign val="superscript"/>
        <sz val="10"/>
        <rFont val="Arial"/>
        <family val="2"/>
      </rPr>
      <t>2</t>
    </r>
    <r>
      <rPr>
        <sz val="10"/>
        <rFont val="Arial"/>
        <family val="2"/>
      </rPr>
      <t xml:space="preserve"> of GFA, balconies and rooftop area</t>
    </r>
  </si>
  <si>
    <t xml:space="preserve"> Number of Pot Plant units</t>
  </si>
  <si>
    <t>Install appropriate shading devices to limit solar heat gains through glazing:</t>
  </si>
  <si>
    <t>• double-glazed, low-solar-gain low-E glazing</t>
  </si>
  <si>
    <t>• Double-glazed, low-solar-gain low-E glazing also reduce solar heat gain while retaining a relatively high visible transmittance thanks to a low-E coating.</t>
  </si>
  <si>
    <t>• Open grid pavement systems to reduce paved areas (at least 50% pervious)</t>
  </si>
  <si>
    <t>The Applicant fills in the User Tool to define the pathway/targets for the project and to understand all requirements for Certification.</t>
  </si>
  <si>
    <t>At Pre-assessment stage, the content of submissions is simplified to a minimum.</t>
  </si>
  <si>
    <t>Certain credits may be completed at this stage; however, most credits will require further documentation for Certification.</t>
  </si>
  <si>
    <t xml:space="preserve">Only few of the credits that will be targeted at Certification stage may be completed for Pre-assessment and no further documentation is required. </t>
  </si>
  <si>
    <t>Resources Folders</t>
  </si>
  <si>
    <t>This folder contains a few documents that are provided to the Applicant Representative:</t>
  </si>
  <si>
    <t xml:space="preserve">• LOTUS Calculator - OTTV Calculation. VGBC strongly encourages the use of this tool to perform the OTTV calculations necessary for E-BPC-1 OTTV calculation or to perform U-values calculations for E-2 Building Envelope – Performance Path. </t>
  </si>
  <si>
    <t>Building Structure Materials</t>
  </si>
  <si>
    <t>Flooring Materials</t>
  </si>
  <si>
    <t>Roofing Materials</t>
  </si>
  <si>
    <t>Windows and Doors</t>
  </si>
  <si>
    <r>
      <rPr>
        <b/>
        <sz val="10"/>
        <rFont val="Arial"/>
        <family val="2"/>
      </rPr>
      <t>Strategy A: Building Orientation</t>
    </r>
    <r>
      <rPr>
        <sz val="10"/>
        <rFont val="Arial"/>
        <family val="2"/>
      </rPr>
      <t xml:space="preserve">
For 1 point, east and west facades area is lower than 40% of the total facade area 
For 2 points, east and west facades area is lower than 20% of the total facade area </t>
    </r>
  </si>
  <si>
    <r>
      <rPr>
        <b/>
        <sz val="10"/>
        <rFont val="Arial"/>
        <family val="2"/>
      </rPr>
      <t>Strategy B: Window-to-wall ratio (WWR)</t>
    </r>
    <r>
      <rPr>
        <sz val="10"/>
        <rFont val="Arial"/>
        <family val="2"/>
      </rPr>
      <t xml:space="preserve">
For 1 point, WWR of the east and west facades is lower than 30%
For 2 points, WWR of the east and west facades is lower than 15%</t>
    </r>
  </si>
  <si>
    <r>
      <rPr>
        <b/>
        <sz val="10"/>
        <rFont val="Arial"/>
        <family val="2"/>
      </rPr>
      <t>Strategy C: Solar radiation through windows</t>
    </r>
    <r>
      <rPr>
        <sz val="10"/>
        <rFont val="Arial"/>
        <family val="2"/>
      </rPr>
      <t xml:space="preserve">
All the glazing systems installed are any of the following: 
solar control glass or low solar heat gain low-E double glazing</t>
    </r>
  </si>
  <si>
    <t>Solid roof surface type</t>
  </si>
  <si>
    <t>Solid wall surface type</t>
  </si>
  <si>
    <t>Limit solar radiation?</t>
  </si>
  <si>
    <t xml:space="preserve">For 1 point, all air-conditioners have at least 3 stars in the energy labelling program of VNEEP </t>
  </si>
  <si>
    <t xml:space="preserve">For 2 points, all air-conditioners have at least 4 stars in the energy labelling program of VNEEP </t>
  </si>
  <si>
    <t xml:space="preserve">For 3 points, all air-conditioners have 5 stars in the energy labelling program of VNEEP </t>
  </si>
  <si>
    <r>
      <rPr>
        <b/>
        <sz val="10"/>
        <rFont val="Arial"/>
        <family val="2"/>
      </rPr>
      <t xml:space="preserve">Option A: Solar water heating </t>
    </r>
    <r>
      <rPr>
        <sz val="10"/>
        <rFont val="Arial"/>
        <family val="2"/>
      </rPr>
      <t xml:space="preserve">
A solar thermal system produces the domestic hot water</t>
    </r>
  </si>
  <si>
    <r>
      <rPr>
        <b/>
        <sz val="10"/>
        <rFont val="Arial"/>
        <family val="2"/>
      </rPr>
      <t>Option B: Heat pump water heating</t>
    </r>
    <r>
      <rPr>
        <sz val="10"/>
        <rFont val="Arial"/>
        <family val="2"/>
      </rPr>
      <t xml:space="preserve">
A heat pump water heater produces all the domestic hot water consumptio</t>
    </r>
    <r>
      <rPr>
        <sz val="11"/>
        <rFont val="Arial"/>
        <family val="2"/>
      </rPr>
      <t>n</t>
    </r>
  </si>
  <si>
    <r>
      <rPr>
        <b/>
        <sz val="10"/>
        <rFont val="Arial"/>
        <family val="2"/>
      </rPr>
      <t>E-BPC-2 Renewable Energy</t>
    </r>
    <r>
      <rPr>
        <sz val="10"/>
        <rFont val="Arial"/>
        <family val="2"/>
      </rPr>
      <t xml:space="preserve">
For 1 point, install a renewable electricity generation system with a power output of more than 1 kW
For 2 points, install a renewable electricity generation system with a power output of more than 2 kW
For 3 points, install a renewable electricity generation system with a power output of more than 3 kW</t>
    </r>
  </si>
  <si>
    <r>
      <t>VBEEC average building OTTV (W/m</t>
    </r>
    <r>
      <rPr>
        <vertAlign val="superscript"/>
        <sz val="10"/>
        <color indexed="9"/>
        <rFont val="Arial"/>
        <family val="2"/>
      </rPr>
      <t>2</t>
    </r>
    <r>
      <rPr>
        <sz val="10"/>
        <color indexed="9"/>
        <rFont val="Arial"/>
        <family val="2"/>
      </rPr>
      <t>)</t>
    </r>
  </si>
  <si>
    <r>
      <t>Building’s average OTTV (W/m</t>
    </r>
    <r>
      <rPr>
        <vertAlign val="superscript"/>
        <sz val="10"/>
        <color indexed="9"/>
        <rFont val="Arial"/>
        <family val="2"/>
      </rPr>
      <t>2</t>
    </r>
    <r>
      <rPr>
        <sz val="10"/>
        <color indexed="9"/>
        <rFont val="Arial"/>
        <family val="2"/>
      </rPr>
      <t>)</t>
    </r>
  </si>
  <si>
    <t>M-1 Building Structure Materials</t>
  </si>
  <si>
    <t>M-2 Non-structural Walls</t>
  </si>
  <si>
    <t>M-3 Windows and Doors</t>
  </si>
  <si>
    <t>M-4 Flooring Materials</t>
  </si>
  <si>
    <t>M-5 Roofing Materials</t>
  </si>
  <si>
    <t>Sustainable non-structural walls  [%]</t>
  </si>
  <si>
    <t>Sustainable flooring materials [%]</t>
  </si>
  <si>
    <t>E-5 Water Heating</t>
  </si>
  <si>
    <t>Sustainable roofing materials [%]</t>
  </si>
  <si>
    <t xml:space="preserve">For 1 point, 40% of the roofing materials are sustainable 
For 2 points, 80% of the roofing materials are sustainable </t>
  </si>
  <si>
    <t>Select and install sustainable roofing materials</t>
  </si>
  <si>
    <t>The following roofing materials are considered as sustainable:</t>
  </si>
  <si>
    <t>Calculation is based on the area of roofing items.</t>
  </si>
  <si>
    <t>The area of a roofing item is equal to the total length of the item multiplied by its total height.</t>
  </si>
  <si>
    <t>Roof covering, roof sheathing and roof sunshade areas must be considered. Then, the total area of roofing items may be higher than the roof area.</t>
  </si>
  <si>
    <t>Complete the table below with information on all the roofing items installed in the project</t>
  </si>
  <si>
    <t>Roofing items</t>
  </si>
  <si>
    <r>
      <t>Area of sustainable roofing items (m</t>
    </r>
    <r>
      <rPr>
        <vertAlign val="superscript"/>
        <sz val="11"/>
        <color theme="0"/>
        <rFont val="Arial"/>
        <family val="2"/>
      </rPr>
      <t>2</t>
    </r>
    <r>
      <rPr>
        <sz val="11"/>
        <color theme="0"/>
        <rFont val="Arial"/>
        <family val="2"/>
      </rPr>
      <t>)</t>
    </r>
  </si>
  <si>
    <r>
      <t>Total area of roofing items (m</t>
    </r>
    <r>
      <rPr>
        <vertAlign val="superscript"/>
        <sz val="11"/>
        <color theme="0"/>
        <rFont val="Arial"/>
        <family val="2"/>
      </rPr>
      <t>2</t>
    </r>
    <r>
      <rPr>
        <sz val="11"/>
        <color theme="0"/>
        <rFont val="Arial"/>
        <family val="2"/>
      </rPr>
      <t>)</t>
    </r>
  </si>
  <si>
    <r>
      <t>Example: With a roof area of 20 m</t>
    </r>
    <r>
      <rPr>
        <i/>
        <vertAlign val="superscript"/>
        <sz val="10"/>
        <rFont val="Arial"/>
        <family val="2"/>
      </rPr>
      <t>2</t>
    </r>
    <r>
      <rPr>
        <i/>
        <sz val="10"/>
        <rFont val="Arial"/>
        <family val="2"/>
      </rPr>
      <t xml:space="preserve"> covered by a plywood sheathing and ceramic tiles: a total of 40 m</t>
    </r>
    <r>
      <rPr>
        <i/>
        <vertAlign val="superscript"/>
        <sz val="10"/>
        <rFont val="Arial"/>
        <family val="2"/>
      </rPr>
      <t>2</t>
    </r>
    <r>
      <rPr>
        <i/>
        <sz val="10"/>
        <rFont val="Arial"/>
        <family val="2"/>
      </rPr>
      <t xml:space="preserve"> would be entered in the table below.</t>
    </r>
  </si>
  <si>
    <t>• Photographs showing all operable wall and roof openings</t>
  </si>
  <si>
    <t>If the sidelit daylit area and the skylit daylit area are overlapping, the overlapping area should be considered only once.</t>
  </si>
  <si>
    <r>
      <rPr>
        <b/>
        <sz val="10"/>
        <rFont val="Arial"/>
        <family val="2"/>
      </rPr>
      <t>Strategy D: Community Connectivity</t>
    </r>
    <r>
      <rPr>
        <sz val="10"/>
        <rFont val="Arial"/>
        <family val="2"/>
      </rPr>
      <t xml:space="preserve"> 
There are at least 5 different types of basic services within a 0.5 km radius of the site</t>
    </r>
  </si>
  <si>
    <t xml:space="preserve">Beauty/Hairdresser </t>
  </si>
  <si>
    <t xml:space="preserve">Cleaners </t>
  </si>
  <si>
    <t xml:space="preserve">Community centre </t>
  </si>
  <si>
    <t>Building located close to various basic services?</t>
  </si>
  <si>
    <t>Electronic /Vehicle Repair Shops</t>
  </si>
  <si>
    <t>Fitness center/Sport center/Swimming pool</t>
  </si>
  <si>
    <t xml:space="preserve">Fire station </t>
  </si>
  <si>
    <t xml:space="preserve">Petrol Station </t>
  </si>
  <si>
    <t xml:space="preserve">Laundry </t>
  </si>
  <si>
    <t xml:space="preserve">Library </t>
  </si>
  <si>
    <t xml:space="preserve">Hospital/Clinic/Dental/Optician </t>
  </si>
  <si>
    <t xml:space="preserve">Museum </t>
  </si>
  <si>
    <t xml:space="preserve">Playground/Park </t>
  </si>
  <si>
    <t>Pharmacy</t>
  </si>
  <si>
    <t xml:space="preserve">Place of worship </t>
  </si>
  <si>
    <t>Police station</t>
  </si>
  <si>
    <t xml:space="preserve">Post Office </t>
  </si>
  <si>
    <t>Art/Entertainment center</t>
  </si>
  <si>
    <t>Bookstore</t>
  </si>
  <si>
    <t>Wet market</t>
  </si>
  <si>
    <t>• Map or plan indicating position of at least 5 different types of basic services located within a 0.5 km radius of the site</t>
  </si>
  <si>
    <t>Complete the Table below with information on 5 different types of basic services located within a 0.5 km radius of the building:</t>
  </si>
  <si>
    <t>Day care</t>
  </si>
  <si>
    <t>Convenience grocery</t>
  </si>
  <si>
    <t xml:space="preserve">ATM </t>
  </si>
  <si>
    <t>Restaurant/Coffee shop</t>
  </si>
  <si>
    <t>School</t>
  </si>
  <si>
    <t>Senior care facility</t>
  </si>
  <si>
    <t>Supermarket</t>
  </si>
  <si>
    <t>Complete the information below:</t>
  </si>
  <si>
    <t>Technical terms</t>
  </si>
  <si>
    <t>Master Plan terms</t>
  </si>
  <si>
    <r>
      <t>Other built structures area (m</t>
    </r>
    <r>
      <rPr>
        <vertAlign val="superscript"/>
        <sz val="10"/>
        <color theme="0"/>
        <rFont val="Arial"/>
        <family val="2"/>
      </rPr>
      <t>2</t>
    </r>
    <r>
      <rPr>
        <sz val="10"/>
        <color theme="0"/>
        <rFont val="Arial"/>
        <family val="2"/>
      </rPr>
      <t>)</t>
    </r>
  </si>
  <si>
    <t>Maximize the undeveloped site area.</t>
  </si>
  <si>
    <t>Undeveloped site area [%]</t>
  </si>
  <si>
    <t>• Site master plan (can be a sketch drawn by hand) showing the building footprint and other built structures</t>
  </si>
  <si>
    <r>
      <rPr>
        <b/>
        <sz val="10"/>
        <rFont val="Arial"/>
        <family val="2"/>
      </rPr>
      <t>Strategy B: Undeveloped Site Area</t>
    </r>
    <r>
      <rPr>
        <sz val="10"/>
        <rFont val="Arial"/>
        <family val="2"/>
      </rPr>
      <t xml:space="preserve">
At least 20% of the site area is undeveloped (has no buildings or other built structures)</t>
    </r>
  </si>
  <si>
    <t>SRI</t>
  </si>
  <si>
    <t>Gray EPDM</t>
  </si>
  <si>
    <t xml:space="preserve">White EPDM  </t>
  </si>
  <si>
    <t>Roofing Membranes</t>
  </si>
  <si>
    <t>Metal Roofing</t>
  </si>
  <si>
    <t>New, bare galvanized steel</t>
  </si>
  <si>
    <t xml:space="preserve">Aluminum              </t>
  </si>
  <si>
    <t xml:space="preserve">White coating on metal roof    </t>
  </si>
  <si>
    <t>Asphalt Shingles</t>
  </si>
  <si>
    <t>Coatings</t>
  </si>
  <si>
    <t>http://energy.lbl.gov/coolroof/</t>
  </si>
  <si>
    <t>Generic Grey asphalt shingle</t>
  </si>
  <si>
    <t>Generic White asphalt shingle</t>
  </si>
  <si>
    <t>White concrete tile</t>
  </si>
  <si>
    <t>Unpainted cement tile</t>
  </si>
  <si>
    <t>Red clay tile</t>
  </si>
  <si>
    <t>White Granular Surface Bitumen</t>
  </si>
  <si>
    <t>Light gravel on built-up roof</t>
  </si>
  <si>
    <t>White-coated gravel on built-up roof</t>
  </si>
  <si>
    <t>Tile</t>
  </si>
  <si>
    <t>White Coating (1 coat, 8 mils)</t>
  </si>
  <si>
    <t>White Coating (2 coats, 20 mils)</t>
  </si>
  <si>
    <t>Example of generic roofing materials</t>
  </si>
  <si>
    <t>Source: Values extracted from Cool Roofing Materials Database, Lawrence Berkeley National Laboratory, Berkeley Laboratory's Energy Technologies Area</t>
  </si>
  <si>
    <t>Acknowledgments</t>
  </si>
  <si>
    <t>General</t>
  </si>
  <si>
    <t>The VGBC is indebted to the Green Building Council Australia (GBCA) for its assistance, and also thank the US Green Building Council and the World Green Building Council and its Asia Pacific Network.</t>
  </si>
  <si>
    <t>Authors and contributors</t>
  </si>
  <si>
    <t xml:space="preserve">The VGBC would like to thank all the members of the technical advisory group for their continued help and support. Their dedication to a sustainable, climate change adapted built environment for Vietnam is essential to the accomplishment of the VGBC’s goals and objectives. </t>
  </si>
  <si>
    <t xml:space="preserve">The VGBC would also like to thank all staff and volunteers who have contributed to the development of LOTUS. In performing their unsung work, they have laid the groundwork for a fundamental shift toward sustainability in Vietnam’s built environment. </t>
  </si>
  <si>
    <t>VGBC is grateful to the Global Cities Institute of the Royal Melbourne Institute of Technology (RMIT), which provided major funding at its inception.</t>
  </si>
  <si>
    <t xml:space="preserve">Lead Authors </t>
  </si>
  <si>
    <t xml:space="preserve">Contributors </t>
  </si>
  <si>
    <t>Charles Gallavardin, Dung Thanh Nguyen , Ho Minh Nhat, Nguyen Chi Tam, Nguyen Duc An, Nguyen Van Muon, Nicolas Jallade, Patrick Bivona, Phạm Hoàng Trung, Tim Middleton, Yannick Millet</t>
  </si>
  <si>
    <t>We extend our thanks to all the authors and contributors who participated in the development of the other LOTUS Rating Systems.</t>
  </si>
  <si>
    <t>VGBC Members</t>
  </si>
  <si>
    <t>Regular Members</t>
  </si>
  <si>
    <t>Archetype Vietnam Ltd</t>
  </si>
  <si>
    <t>B+H Architects Vietnam</t>
  </si>
  <si>
    <t>Bry-Air Malaysia</t>
  </si>
  <si>
    <t>Cat Tuong</t>
  </si>
  <si>
    <t>CBRE Vietnam</t>
  </si>
  <si>
    <t>Deutsche Bekleidungswerke Limited</t>
  </si>
  <si>
    <t>Dragon Capital</t>
  </si>
  <si>
    <t>Indochine Engineering</t>
  </si>
  <si>
    <t>InterfaceFLOR</t>
  </si>
  <si>
    <t>Lap Nguyen Corporation</t>
  </si>
  <si>
    <t>OUT-2 Design</t>
  </si>
  <si>
    <t>Quoc Viet Technology JSC</t>
  </si>
  <si>
    <t xml:space="preserve">RCR infrastructure Vietnam </t>
  </si>
  <si>
    <t xml:space="preserve">Sonacons Construction JSC </t>
  </si>
  <si>
    <t xml:space="preserve">TTT Architects </t>
  </si>
  <si>
    <t xml:space="preserve">Tuan Le Construction Co. Ltd </t>
  </si>
  <si>
    <t xml:space="preserve">Unicons </t>
  </si>
  <si>
    <t>Character of surface</t>
  </si>
  <si>
    <t>Runoff Coefficient</t>
  </si>
  <si>
    <t>Pavement</t>
  </si>
  <si>
    <t>Roofs</t>
  </si>
  <si>
    <t>Asphalt</t>
  </si>
  <si>
    <t>Brick pavers</t>
  </si>
  <si>
    <t>Concrete</t>
  </si>
  <si>
    <t>Gravel (unbound) </t>
  </si>
  <si>
    <t>Permeable pavers </t>
  </si>
  <si>
    <t>Lawns (Sandy soil)</t>
  </si>
  <si>
    <t>Lawns (Heavy soil)</t>
  </si>
  <si>
    <t>Average slope 0-2%</t>
  </si>
  <si>
    <t>Average slope 2-7%</t>
  </si>
  <si>
    <t>Average slope &gt; 7%</t>
  </si>
  <si>
    <t xml:space="preserve">Garden bed/rain garden </t>
  </si>
  <si>
    <t>Others</t>
  </si>
  <si>
    <t>Playgrounds</t>
  </si>
  <si>
    <t>Source: Data coming from American Society of Civil Engineers and TCVN 7957:2008</t>
  </si>
  <si>
    <t xml:space="preserve">More values can be found at this link: </t>
  </si>
  <si>
    <t>In researching and developing the LOTUS Certification system, the Vietnam Green Building Council (VGBC) conducted a survey of all the world’s significant green building rating systems. Several became focal points from which the VGBC has taken inspiration to design LOTUS. These are Australia’s Green Star, the USA’s LEED and Malaysia’s GBI rating systems and to a lesser extent, Britain’s BREEAM, Hong Kong’s BEAM Plus, Indonesia’s Greenship and Singapore’s Green Mark systems.</t>
  </si>
  <si>
    <t xml:space="preserve">Low-VOC Emissions </t>
  </si>
  <si>
    <t>Submitted?</t>
  </si>
  <si>
    <t>Name of the document(s)</t>
  </si>
  <si>
    <t>Submit all the documentation listed below at Certification Stage:</t>
  </si>
  <si>
    <t>Click on the links on 
the right to navigate to 
other Water credits</t>
  </si>
  <si>
    <r>
      <t>Average U-value of the walls and roofs (W/m</t>
    </r>
    <r>
      <rPr>
        <vertAlign val="superscript"/>
        <sz val="11"/>
        <color theme="0"/>
        <rFont val="Arial"/>
        <family val="2"/>
      </rPr>
      <t>2</t>
    </r>
    <r>
      <rPr>
        <sz val="11"/>
        <color theme="0"/>
        <rFont val="Arial"/>
        <family val="2"/>
      </rPr>
      <t>.K)</t>
    </r>
  </si>
  <si>
    <t>Complete the Tables below with information on all the glazing:</t>
  </si>
  <si>
    <t>Click on the links on 
the right to navigate to 
other Materials credits</t>
  </si>
  <si>
    <r>
      <rPr>
        <b/>
        <sz val="11"/>
        <color rgb="FF76923C"/>
        <rFont val="Calibri"/>
        <family val="2"/>
      </rPr>
      <t xml:space="preserve">→ </t>
    </r>
    <r>
      <rPr>
        <b/>
        <sz val="11"/>
        <color rgb="FF76923C"/>
        <rFont val="Calibri"/>
        <family val="2"/>
        <scheme val="minor"/>
      </rPr>
      <t xml:space="preserve">No definitive score or Certification will be given at Pre-assessment stage. </t>
    </r>
  </si>
  <si>
    <t>- OR -</t>
  </si>
  <si>
    <t xml:space="preserve">Design occupied areas with cross ventilation. </t>
  </si>
  <si>
    <t xml:space="preserve">Complete the Table below with information on the occupied areas to calculate the percentage of the area with cross ventilation. </t>
  </si>
  <si>
    <t>Percentage of occupied areas with cross ventilation [%]</t>
  </si>
  <si>
    <t>Install less artificial lighting power to exceed requirements on light power density (LPD) set in QCVN 09:2013/BXD (VBEEC) and given in Table E.5</t>
  </si>
  <si>
    <t>Type of Buildings</t>
  </si>
  <si>
    <r>
      <t>Maximum LPD (W/m</t>
    </r>
    <r>
      <rPr>
        <vertAlign val="superscript"/>
        <sz val="10"/>
        <color rgb="FFFFFFFF"/>
        <rFont val="Arial"/>
        <family val="2"/>
      </rPr>
      <t>2</t>
    </r>
    <r>
      <rPr>
        <sz val="10"/>
        <color rgb="FFFFFFFF"/>
        <rFont val="Arial"/>
        <family val="2"/>
      </rPr>
      <t>)</t>
    </r>
  </si>
  <si>
    <t>Office</t>
  </si>
  <si>
    <t>Hotel</t>
  </si>
  <si>
    <t>Hospital</t>
  </si>
  <si>
    <t>Retail</t>
  </si>
  <si>
    <t>Residential</t>
  </si>
  <si>
    <t>Enclosed, in-house, basement car parks</t>
  </si>
  <si>
    <t xml:space="preserve">Outdoor or open (roofed only) car parks </t>
  </si>
  <si>
    <t>Other types of buildings</t>
  </si>
  <si>
    <r>
      <t>Table E.5:</t>
    </r>
    <r>
      <rPr>
        <sz val="10"/>
        <color rgb="FF000000"/>
        <rFont val="Arial"/>
        <family val="2"/>
      </rPr>
      <t xml:space="preserve"> Maximum LPD Values for different types of building (VBEEC Table 2.12)</t>
    </r>
  </si>
  <si>
    <t>Click on the links on 
the right to navigate 
to other LE credits</t>
  </si>
  <si>
    <t>Click on the links on 
the right to navigate 
to other C&amp;M credits</t>
  </si>
  <si>
    <t>Install an energy monitor to record electricity consumption</t>
  </si>
  <si>
    <t>An energy monitor is an electronic device that provides feedback on electricity consumption.</t>
  </si>
  <si>
    <t>A permanent energy monitor should be installed and should:</t>
  </si>
  <si>
    <t>Number of full-time occupants</t>
  </si>
  <si>
    <r>
      <rPr>
        <b/>
        <sz val="10"/>
        <color rgb="FF76923C"/>
        <rFont val="Arial"/>
        <family val="2"/>
      </rPr>
      <t>Category</t>
    </r>
    <r>
      <rPr>
        <sz val="10"/>
        <rFont val="Arial"/>
        <family val="2"/>
      </rPr>
      <t xml:space="preserve"> - A Category is a grouping of Credits that have a similar area of focus and perceived environmental impact.</t>
    </r>
  </si>
  <si>
    <r>
      <rPr>
        <b/>
        <sz val="10"/>
        <color rgb="FF76923C"/>
        <rFont val="Arial"/>
        <family val="2"/>
      </rPr>
      <t>LOTUS Accredited Professional</t>
    </r>
    <r>
      <rPr>
        <sz val="10"/>
        <color rgb="FF76923C"/>
        <rFont val="Arial"/>
        <family val="2"/>
      </rPr>
      <t xml:space="preserve"> </t>
    </r>
    <r>
      <rPr>
        <sz val="10"/>
        <rFont val="Arial"/>
        <family val="2"/>
      </rPr>
      <t>- The LOTUS Accredited Professional or LOTUS AP has undergone training and successfully passed the LOTUS Rating System examination. Upon Accreditation, the LOTUS AP is then deemed qualified to work either as an internal or external resource within a LOTUS project.</t>
    </r>
  </si>
  <si>
    <r>
      <rPr>
        <b/>
        <sz val="10"/>
        <color rgb="FF76923C"/>
        <rFont val="Arial"/>
        <family val="2"/>
      </rPr>
      <t>Project Identification Number (PIN)</t>
    </r>
    <r>
      <rPr>
        <sz val="10"/>
        <color rgb="FF76923C"/>
        <rFont val="Arial"/>
        <family val="2"/>
      </rPr>
      <t xml:space="preserve"> </t>
    </r>
    <r>
      <rPr>
        <sz val="10"/>
        <rFont val="Arial"/>
        <family val="2"/>
      </rPr>
      <t>- The Project Identification Number (PIN) is a unique reference number issued at the Registration Confirmation. This reference number must be protected and is for the use of the Applicant Representative when providing submissions to the VGBC.</t>
    </r>
  </si>
  <si>
    <r>
      <rPr>
        <b/>
        <sz val="10"/>
        <color rgb="FF76923C"/>
        <rFont val="Arial"/>
        <family val="2"/>
      </rPr>
      <t>Drawings</t>
    </r>
    <r>
      <rPr>
        <sz val="10"/>
        <color rgb="FF58AB27"/>
        <rFont val="Arial"/>
        <family val="2"/>
      </rPr>
      <t xml:space="preserve"> </t>
    </r>
    <r>
      <rPr>
        <sz val="10"/>
        <color theme="1"/>
        <rFont val="Arial"/>
        <family val="2"/>
      </rPr>
      <t>- Two dimensional technical diagrams of a place or object.</t>
    </r>
  </si>
  <si>
    <r>
      <rPr>
        <b/>
        <sz val="10"/>
        <color rgb="FF76923C"/>
        <rFont val="Arial"/>
        <family val="2"/>
      </rPr>
      <t>Elevation</t>
    </r>
    <r>
      <rPr>
        <sz val="10"/>
        <color theme="1"/>
        <rFont val="Arial"/>
        <family val="2"/>
      </rPr>
      <t xml:space="preserve"> - An elevation is a view of a building seen from one side, a 2D drawing of one facade of the building.</t>
    </r>
  </si>
  <si>
    <r>
      <rPr>
        <b/>
        <sz val="10"/>
        <color rgb="FF76923C"/>
        <rFont val="Arial"/>
        <family val="2"/>
      </rPr>
      <t>Invoice/Receipt</t>
    </r>
    <r>
      <rPr>
        <b/>
        <sz val="10"/>
        <color rgb="FF58AB27"/>
        <rFont val="Arial"/>
        <family val="2"/>
      </rPr>
      <t xml:space="preserve"> </t>
    </r>
    <r>
      <rPr>
        <sz val="10"/>
        <color theme="1"/>
        <rFont val="Arial"/>
        <family val="2"/>
      </rPr>
      <t>- A proof of purchase given from a supplier to a consumer.</t>
    </r>
  </si>
  <si>
    <r>
      <rPr>
        <b/>
        <sz val="10"/>
        <color rgb="FF76923C"/>
        <rFont val="Arial"/>
        <family val="2"/>
      </rPr>
      <t>Plan</t>
    </r>
    <r>
      <rPr>
        <sz val="10"/>
        <color rgb="FF58AB27"/>
        <rFont val="Arial"/>
        <family val="2"/>
      </rPr>
      <t xml:space="preserve"> </t>
    </r>
    <r>
      <rPr>
        <sz val="10"/>
        <color theme="1"/>
        <rFont val="Arial"/>
        <family val="2"/>
      </rPr>
      <t xml:space="preserve">- A floor plan is the most fundamental architectural diagram, a view from above showing the arrangement of spaces in building in the same way as a map, but showing the arrangement at a particular level of a building. Technically it is a horizontal section cut though a building (conventionally at three feet/one metre above floor level), showing walls, window and door openings and other features at that level. </t>
    </r>
  </si>
  <si>
    <r>
      <rPr>
        <b/>
        <sz val="10"/>
        <color rgb="FF76923C"/>
        <rFont val="Arial"/>
        <family val="2"/>
      </rPr>
      <t>Site Plan</t>
    </r>
    <r>
      <rPr>
        <sz val="10"/>
        <rFont val="Arial"/>
        <family val="2"/>
      </rPr>
      <t xml:space="preserve"> - An accurate drawing or picture of a planned or completed development site, which has a scale of size for reference (to determine relative sizes and distances). Site plans often show, but are not limited to, boundaries, building locations, landscaping, topography, vegetation, drainage, floodplains, zoning, routes/streets, sidewalks and other site features.</t>
    </r>
  </si>
  <si>
    <t>E-BPC-4 Water Heating</t>
  </si>
  <si>
    <t>Select a properly sized heat pump water heating system with a COP value higher than VBEEC requirements.</t>
  </si>
  <si>
    <t>• If yes, what is the capacity of the solar hot water system? (liters)</t>
  </si>
  <si>
    <t>Solar water heating:</t>
  </si>
  <si>
    <t>Heat pump water heating:</t>
  </si>
  <si>
    <t>Reply to the question and complete the table below:</t>
  </si>
  <si>
    <t>Solar water heating: Submit all the documentation listed below at Certification Stage:</t>
  </si>
  <si>
    <t>Heat pump water heating: Submit all the documentation listed below at Certification Stage:</t>
  </si>
  <si>
    <t>Submitted</t>
  </si>
  <si>
    <r>
      <rPr>
        <b/>
        <sz val="10"/>
        <rFont val="Arial"/>
        <family val="2"/>
      </rPr>
      <t>E-BPC-4 Water Heating</t>
    </r>
    <r>
      <rPr>
        <sz val="10"/>
        <rFont val="Arial"/>
        <family val="2"/>
      </rPr>
      <t xml:space="preserve">
A solar thermal system or a heat pump water heating system produces the domestic hot water</t>
    </r>
  </si>
  <si>
    <t>E-5 Energy Efficiency Appliances</t>
  </si>
  <si>
    <t>E-5 Energy Efficient Appliances</t>
  </si>
  <si>
    <r>
      <rPr>
        <b/>
        <sz val="10"/>
        <rFont val="Arial"/>
        <family val="2"/>
      </rPr>
      <t xml:space="preserve">W-BPC-2 Domestic Water reuse
</t>
    </r>
    <r>
      <rPr>
        <sz val="10"/>
        <rFont val="Arial"/>
        <family val="2"/>
      </rPr>
      <t>For 1 point, Use reused water to meet the water demand for irrigation
- AND / OR -
For 1 point, Use reused water to meet the water demand for WC flushing</t>
    </r>
  </si>
  <si>
    <t>H-6</t>
  </si>
  <si>
    <t>Provide direct line of sight to the outdoor environment to the occupied areas.</t>
  </si>
  <si>
    <t>Strategies to consider to offer occupants a connection to the outdoors through vision glazing:</t>
  </si>
  <si>
    <t>• Locating open areas near the perimeter of the building</t>
  </si>
  <si>
    <t>• Locating unoccupied spaces within the core of the building</t>
  </si>
  <si>
    <t>• Application of glazing for internal partitions</t>
  </si>
  <si>
    <t>For this credit, a glazing can be considered as a vision glazing (or external view) only if:</t>
  </si>
  <si>
    <t>• It is present between 0.8 m and 2.2 m above the finished floor; and</t>
  </si>
  <si>
    <t>• it provides a clear image of the exterior, not obstructed by frits, fibers, patterned glazing, or added tints that distort color balance.</t>
  </si>
  <si>
    <t>The direct lines of sight to the outdoors must be determined as follows:</t>
  </si>
  <si>
    <t>• Lines of sight begin at 45 degrees from the edge of each external view</t>
  </si>
  <si>
    <t>• Lines of sight can pass through 2 interior glazing surfaces, but not a doorway with a solid door. Moveable partitions and non-fixed furniture shall not be taken into account.</t>
  </si>
  <si>
    <t>When more than 75% of a room’s floor area has a direct line of sight to the outdoors, the entire room floor area is counted towards having a view to the outdoors.</t>
  </si>
  <si>
    <t>Occupied room name</t>
  </si>
  <si>
    <r>
      <t>Area of the space (m</t>
    </r>
    <r>
      <rPr>
        <vertAlign val="superscript"/>
        <sz val="10"/>
        <color theme="0"/>
        <rFont val="Arial"/>
        <family val="2"/>
      </rPr>
      <t>2</t>
    </r>
    <r>
      <rPr>
        <sz val="10"/>
        <color theme="0"/>
        <rFont val="Arial"/>
        <family val="2"/>
      </rPr>
      <t>)</t>
    </r>
  </si>
  <si>
    <r>
      <t>Area with External View (m</t>
    </r>
    <r>
      <rPr>
        <vertAlign val="superscript"/>
        <sz val="10"/>
        <color theme="0"/>
        <rFont val="Arial"/>
        <family val="2"/>
      </rPr>
      <t>2</t>
    </r>
    <r>
      <rPr>
        <sz val="10"/>
        <color theme="0"/>
        <rFont val="Arial"/>
        <family val="2"/>
      </rPr>
      <t>)</t>
    </r>
  </si>
  <si>
    <r>
      <t>Compliant area (m</t>
    </r>
    <r>
      <rPr>
        <vertAlign val="superscript"/>
        <sz val="10"/>
        <color theme="0"/>
        <rFont val="Arial"/>
        <family val="2"/>
      </rPr>
      <t>2</t>
    </r>
    <r>
      <rPr>
        <sz val="10"/>
        <color theme="0"/>
        <rFont val="Arial"/>
        <family val="2"/>
      </rPr>
      <t>)</t>
    </r>
  </si>
  <si>
    <t>Complete the table below with information on all the occupied rooms of the building.</t>
  </si>
  <si>
    <r>
      <rPr>
        <b/>
        <sz val="10"/>
        <rFont val="Arial"/>
        <family val="2"/>
      </rPr>
      <t>H-BPC-2 Acoustic Comfort</t>
    </r>
    <r>
      <rPr>
        <sz val="10"/>
        <rFont val="Arial"/>
        <family val="2"/>
      </rPr>
      <t xml:space="preserve">
</t>
    </r>
    <r>
      <rPr>
        <b/>
        <sz val="10"/>
        <rFont val="Arial"/>
        <family val="2"/>
      </rPr>
      <t>Option A: Internal Noise Levels</t>
    </r>
    <r>
      <rPr>
        <sz val="10"/>
        <rFont val="Arial"/>
        <family val="2"/>
      </rPr>
      <t xml:space="preserve"> 
Spaces of the project comply with the requirements of TCXDVN 175:2005 -  Maximum Permitted Noise Levels for Public Buildings – Design Standard
</t>
    </r>
    <r>
      <rPr>
        <b/>
        <sz val="10"/>
        <rFont val="Arial"/>
        <family val="2"/>
      </rPr>
      <t xml:space="preserve">Option B: Reverberation Time </t>
    </r>
    <r>
      <rPr>
        <sz val="10"/>
        <rFont val="Arial"/>
        <family val="2"/>
      </rPr>
      <t xml:space="preserve">
Average reverberation time (T60) in the habitable spaces of the project should be lower than 0.6 seconds </t>
    </r>
  </si>
  <si>
    <t>H-BPC-1 Lighting Comfort</t>
  </si>
  <si>
    <t>H-BPC-2 Acoustic Comfort</t>
  </si>
  <si>
    <t>Option A: Internal Noise Levels</t>
  </si>
  <si>
    <t>Option B: Reverberation Time</t>
  </si>
  <si>
    <t>Average Refrigerant Atmospheric Impact of all the air-conditioning systems installed in the building is below 11</t>
  </si>
  <si>
    <t>External Views</t>
  </si>
  <si>
    <t>CM-4</t>
  </si>
  <si>
    <t>Access for People with Disabilities</t>
  </si>
  <si>
    <t>CM-4 Access for People with Disabilities</t>
  </si>
  <si>
    <t>Building meets the QCVN 10:2014/BXD requirements</t>
  </si>
  <si>
    <t>Compliant Access for People with Disabilities?</t>
  </si>
  <si>
    <r>
      <t>CO</t>
    </r>
    <r>
      <rPr>
        <vertAlign val="subscript"/>
        <sz val="8"/>
        <rFont val="Arial"/>
        <family val="2"/>
      </rPr>
      <t>2</t>
    </r>
    <r>
      <rPr>
        <sz val="8"/>
        <rFont val="Arial"/>
        <family val="2"/>
      </rPr>
      <t xml:space="preserve"> Monitoring</t>
    </r>
  </si>
  <si>
    <t>H-4 Low-VOC Emissions</t>
  </si>
  <si>
    <t>H-5 Daylighting</t>
  </si>
  <si>
    <t>H-6 External Views</t>
  </si>
  <si>
    <t>H-3 CO2 Monitoring</t>
  </si>
  <si>
    <t xml:space="preserve">• Daylight sensors to adapt the use of artificial lighting depending on the amount of natural lighting in the daylit zone areas (cf credit H-5 Daylighting) </t>
  </si>
  <si>
    <t>Install at least 2 different types of energy control solutions in the building where it can be effective:</t>
  </si>
  <si>
    <t>Building Space type</t>
  </si>
  <si>
    <t>Type 1</t>
  </si>
  <si>
    <t>Type 2</t>
  </si>
  <si>
    <t>Type 3</t>
  </si>
  <si>
    <t>Type 4</t>
  </si>
  <si>
    <t>Type 5</t>
  </si>
  <si>
    <t>Other</t>
  </si>
  <si>
    <r>
      <t>Maximum Lighting Power Density (W/m</t>
    </r>
    <r>
      <rPr>
        <vertAlign val="superscript"/>
        <sz val="11"/>
        <color theme="0"/>
        <rFont val="Arial"/>
        <family val="2"/>
      </rPr>
      <t>2</t>
    </r>
    <r>
      <rPr>
        <sz val="11"/>
        <color theme="0"/>
        <rFont val="Arial"/>
        <family val="2"/>
      </rPr>
      <t>)</t>
    </r>
  </si>
  <si>
    <t>Lighting Power Density reduction (%)</t>
  </si>
  <si>
    <t>Complete the table below with information on the different building space types in the project. 
For projects with only one space type, only fill information under Type 1. For mixed-use buildings, complete the information for all the different space types.</t>
  </si>
  <si>
    <t>Complete the table below with information on all the lighting fixtures included in the building (also including task lights)</t>
  </si>
  <si>
    <r>
      <t>Specify and install a CO</t>
    </r>
    <r>
      <rPr>
        <b/>
        <vertAlign val="subscript"/>
        <sz val="10"/>
        <rFont val="Arial"/>
        <family val="2"/>
      </rPr>
      <t>2</t>
    </r>
    <r>
      <rPr>
        <b/>
        <sz val="10"/>
        <rFont val="Arial"/>
        <family val="2"/>
      </rPr>
      <t xml:space="preserve"> monitoring system. </t>
    </r>
  </si>
  <si>
    <r>
      <t>Specify and install a CO</t>
    </r>
    <r>
      <rPr>
        <vertAlign val="subscript"/>
        <sz val="10"/>
        <rFont val="Arial"/>
        <family val="2"/>
      </rPr>
      <t>2</t>
    </r>
    <r>
      <rPr>
        <sz val="10"/>
        <rFont val="Arial"/>
        <family val="2"/>
      </rPr>
      <t xml:space="preserve"> monitoring system</t>
    </r>
  </si>
  <si>
    <r>
      <t>• At least, permanent CO</t>
    </r>
    <r>
      <rPr>
        <vertAlign val="subscript"/>
        <sz val="10"/>
        <rFont val="Arial"/>
        <family val="2"/>
      </rPr>
      <t>2</t>
    </r>
    <r>
      <rPr>
        <sz val="10"/>
        <rFont val="Arial"/>
        <family val="2"/>
      </rPr>
      <t xml:space="preserve"> sensors should be installed in all the high density occupied areas (areas with at least 1 person for 3 m</t>
    </r>
    <r>
      <rPr>
        <vertAlign val="superscript"/>
        <sz val="10"/>
        <rFont val="Arial"/>
        <family val="2"/>
      </rPr>
      <t>2</t>
    </r>
    <r>
      <rPr>
        <sz val="10"/>
        <rFont val="Arial"/>
        <family val="2"/>
      </rPr>
      <t>)</t>
    </r>
  </si>
  <si>
    <r>
      <t>• One of the two following CO</t>
    </r>
    <r>
      <rPr>
        <vertAlign val="subscript"/>
        <sz val="10"/>
        <rFont val="Arial"/>
        <family val="2"/>
      </rPr>
      <t>2</t>
    </r>
    <r>
      <rPr>
        <sz val="10"/>
        <rFont val="Arial"/>
        <family val="2"/>
      </rPr>
      <t xml:space="preserve"> monitoring techniques should be applied:</t>
    </r>
  </si>
  <si>
    <r>
      <rPr>
        <u/>
        <sz val="10"/>
        <rFont val="Arial"/>
        <family val="2"/>
      </rPr>
      <t>Technique 1</t>
    </r>
    <r>
      <rPr>
        <sz val="10"/>
        <rFont val="Arial"/>
        <family val="2"/>
      </rPr>
      <t>: Install permanent CO</t>
    </r>
    <r>
      <rPr>
        <vertAlign val="subscript"/>
        <sz val="10"/>
        <rFont val="Arial"/>
        <family val="2"/>
      </rPr>
      <t>2</t>
    </r>
    <r>
      <rPr>
        <sz val="10"/>
        <rFont val="Arial"/>
        <family val="2"/>
      </rPr>
      <t xml:space="preserve"> sensors integrated with building automation systems to ensure continuous adjustments of the fresh air supply </t>
    </r>
  </si>
  <si>
    <r>
      <rPr>
        <u/>
        <sz val="10"/>
        <rFont val="Arial"/>
        <family val="2"/>
      </rPr>
      <t>Technique 2</t>
    </r>
    <r>
      <rPr>
        <sz val="10"/>
        <rFont val="Arial"/>
        <family val="2"/>
      </rPr>
      <t>: Monitor CO</t>
    </r>
    <r>
      <rPr>
        <vertAlign val="subscript"/>
        <sz val="10"/>
        <rFont val="Arial"/>
        <family val="2"/>
      </rPr>
      <t>2</t>
    </r>
    <r>
      <rPr>
        <sz val="10"/>
        <rFont val="Arial"/>
        <family val="2"/>
      </rPr>
      <t xml:space="preserve"> concentrations and manually amend the operation schedules of ventilation systems accordingly. Configure all monitoring systems to generate an alarm when the CO</t>
    </r>
    <r>
      <rPr>
        <vertAlign val="subscript"/>
        <sz val="10"/>
        <rFont val="Arial"/>
        <family val="2"/>
      </rPr>
      <t>2</t>
    </r>
    <r>
      <rPr>
        <sz val="10"/>
        <rFont val="Arial"/>
        <family val="2"/>
      </rPr>
      <t xml:space="preserve"> concentration gets higher than a CO</t>
    </r>
    <r>
      <rPr>
        <vertAlign val="subscript"/>
        <sz val="10"/>
        <rFont val="Arial"/>
        <family val="2"/>
      </rPr>
      <t>2max</t>
    </r>
    <r>
      <rPr>
        <sz val="10"/>
        <rFont val="Arial"/>
        <family val="2"/>
      </rPr>
      <t xml:space="preserve"> concentration set for each space. The alarm should be able to alert either the building operator through building automation system or the building occupants through visible or audible alerts. The CO</t>
    </r>
    <r>
      <rPr>
        <vertAlign val="subscript"/>
        <sz val="10"/>
        <rFont val="Arial"/>
        <family val="2"/>
      </rPr>
      <t>2max</t>
    </r>
    <r>
      <rPr>
        <sz val="10"/>
        <rFont val="Arial"/>
        <family val="2"/>
      </rPr>
      <t xml:space="preserve"> concentration, at which fresh air supply must be increased, shall be set at 1000 ppm or appropriately calculated for each different high density occupied area. Designers can refer to the Appendix A CO</t>
    </r>
    <r>
      <rPr>
        <vertAlign val="subscript"/>
        <sz val="10"/>
        <rFont val="Arial"/>
        <family val="2"/>
      </rPr>
      <t>2</t>
    </r>
    <r>
      <rPr>
        <sz val="10"/>
        <rFont val="Arial"/>
        <family val="2"/>
      </rPr>
      <t xml:space="preserve">-Based Demand Controlled Ventilation of ASHRAE 62.1 User’s Manual (2007 or 2010) for more details. </t>
    </r>
  </si>
  <si>
    <r>
      <t>• For both techniques, CO</t>
    </r>
    <r>
      <rPr>
        <vertAlign val="subscript"/>
        <sz val="10"/>
        <rFont val="Arial"/>
        <family val="2"/>
      </rPr>
      <t>2</t>
    </r>
    <r>
      <rPr>
        <sz val="10"/>
        <rFont val="Arial"/>
        <family val="2"/>
      </rPr>
      <t xml:space="preserve"> sensors should be installed in a sufficient number and located between 1 and 2 meters above the finished floor (breathing zone). </t>
    </r>
  </si>
  <si>
    <t>When monitoring large open spaces with largely uniform concentration levels, it is also acceptable to mount sensors in return air ducts.</t>
  </si>
  <si>
    <r>
      <t xml:space="preserve"> Complete the table below with information on all the occupied rooms and the CO</t>
    </r>
    <r>
      <rPr>
        <i/>
        <vertAlign val="subscript"/>
        <sz val="10"/>
        <rFont val="Arial"/>
        <family val="2"/>
      </rPr>
      <t>2</t>
    </r>
    <r>
      <rPr>
        <i/>
        <sz val="10"/>
        <rFont val="Arial"/>
        <family val="2"/>
      </rPr>
      <t xml:space="preserve"> monitoring systems installed:</t>
    </r>
  </si>
  <si>
    <t>Occupied room</t>
  </si>
  <si>
    <t xml:space="preserve">Number of occupants </t>
  </si>
  <si>
    <r>
      <t>Number of CO</t>
    </r>
    <r>
      <rPr>
        <vertAlign val="subscript"/>
        <sz val="10"/>
        <color indexed="9"/>
        <rFont val="Arial"/>
        <family val="2"/>
      </rPr>
      <t>2</t>
    </r>
    <r>
      <rPr>
        <sz val="10"/>
        <color indexed="9"/>
        <rFont val="Arial"/>
        <family val="2"/>
      </rPr>
      <t xml:space="preserve"> sensors installed </t>
    </r>
  </si>
  <si>
    <t xml:space="preserve">Location of the sensors </t>
  </si>
  <si>
    <r>
      <t>CO</t>
    </r>
    <r>
      <rPr>
        <vertAlign val="subscript"/>
        <sz val="10"/>
        <color indexed="9"/>
        <rFont val="Arial"/>
        <family val="2"/>
      </rPr>
      <t>2</t>
    </r>
    <r>
      <rPr>
        <sz val="10"/>
        <color indexed="9"/>
        <rFont val="Arial"/>
        <family val="2"/>
      </rPr>
      <t xml:space="preserve"> monitoring technique</t>
    </r>
  </si>
  <si>
    <r>
      <t>CO</t>
    </r>
    <r>
      <rPr>
        <vertAlign val="subscript"/>
        <sz val="10"/>
        <color indexed="9"/>
        <rFont val="Arial"/>
        <family val="2"/>
      </rPr>
      <t>2max</t>
    </r>
    <r>
      <rPr>
        <sz val="10"/>
        <color indexed="9"/>
        <rFont val="Arial"/>
        <family val="2"/>
      </rPr>
      <t xml:space="preserve"> concentration</t>
    </r>
  </si>
  <si>
    <t>Compliant CO2 monitoring?</t>
  </si>
  <si>
    <t>• Extract of the operation and maintenance manual indicating the procedures for operation, adjustment and maintenance of the CO2 monitoring system</t>
  </si>
  <si>
    <t>• Evidence of the CO2 monitoring system equipment installed, such as photographs, invoices, receipts, commissioning report, etc.</t>
  </si>
  <si>
    <t xml:space="preserve">• Floor plans and elevations outlining occupied areas and areas with external views </t>
  </si>
  <si>
    <t>• Door and window plans indicating all types of glazing and their sizes</t>
  </si>
  <si>
    <t>• Light dimmers to provide variable indoor lighting in spaces with multiple uses</t>
  </si>
  <si>
    <t>Lighting purpose</t>
  </si>
  <si>
    <t>Application</t>
  </si>
  <si>
    <t>1. Lighting for rooms and common areas used infrequently and / or performing simple observation tasks</t>
  </si>
  <si>
    <t>2. Normal indoor lighting</t>
  </si>
  <si>
    <t>3. High precision level tasks</t>
  </si>
  <si>
    <t>1.2 Outdoor pathway or yard</t>
  </si>
  <si>
    <t>1.3 Boiler house</t>
  </si>
  <si>
    <t>1.4 Transformer station, boiler area…</t>
  </si>
  <si>
    <t>1.5 Pathway inside industrial factories, shops, storage.</t>
  </si>
  <si>
    <t>2.1 Minimum illuminance to perform work</t>
  </si>
  <si>
    <t>2.2 Average precision level work, general process in chemical industry and food processing, reading</t>
  </si>
  <si>
    <t>2.3 Checking work, drawing room, detailed part assembly, high precision of drawing work and color required</t>
  </si>
  <si>
    <t>2.4 High precision machinery operating work, electronic part assembly and small tools required high precision level, meter and check complicated parts (task light can be used)</t>
  </si>
  <si>
    <t>3.0 Working with detailed, precision and particular e.g. small items or parts</t>
  </si>
  <si>
    <t>Minimum illuminance level (lux)</t>
  </si>
  <si>
    <t>Application 1.1</t>
  </si>
  <si>
    <r>
      <rPr>
        <b/>
        <sz val="10"/>
        <rFont val="Arial"/>
        <family val="2"/>
      </rPr>
      <t>H-BPC-1 Lighting Comfort</t>
    </r>
    <r>
      <rPr>
        <sz val="10"/>
        <rFont val="Arial"/>
        <family val="2"/>
      </rPr>
      <t xml:space="preserve">
95% of the occupied spaces meet recommended illuminance levels</t>
    </r>
  </si>
  <si>
    <t>Occupied space</t>
  </si>
  <si>
    <t>Complete the Table below for all the occupied spaces of the building:</t>
  </si>
  <si>
    <r>
      <rPr>
        <b/>
        <sz val="10"/>
        <color rgb="FF76923C"/>
        <rFont val="Arial"/>
        <family val="2"/>
      </rPr>
      <t>Occupied spaces</t>
    </r>
    <r>
      <rPr>
        <sz val="10"/>
        <rFont val="Arial"/>
        <family val="2"/>
      </rPr>
      <t xml:space="preserve"> - Enclosed spaces that can accommodate human activities. They include work spaces (offices, meeting rooms, laboratories, etc.), event spaces (halls, sales areas, libraries, gyms, etc.), common areas (receptions, waiting rooms, lounges, lobbies, etc.), and learning spaces (classrooms). They exclude corridors, staircases, storage areas, toilets, changing facilities, IT equipment rooms and mechanical rooms.</t>
    </r>
  </si>
  <si>
    <r>
      <rPr>
        <b/>
        <sz val="10"/>
        <color rgb="FF76923C"/>
        <rFont val="Arial"/>
        <family val="2"/>
      </rPr>
      <t>Building footprint</t>
    </r>
    <r>
      <rPr>
        <sz val="10"/>
        <rFont val="Arial"/>
        <family val="2"/>
      </rPr>
      <t xml:space="preserve"> - The area of the building in plan on the ground floor or ground plane that is enclosed by exterior walls and adjoining structures sharing the same foundation as the building such as decks, porches and garages. </t>
    </r>
  </si>
  <si>
    <r>
      <rPr>
        <b/>
        <sz val="10"/>
        <color rgb="FF76923C"/>
        <rFont val="Arial"/>
        <family val="2"/>
      </rPr>
      <t xml:space="preserve">Development Footprint </t>
    </r>
    <r>
      <rPr>
        <sz val="10"/>
        <rFont val="Arial"/>
        <family val="2"/>
      </rPr>
      <t>- The area of a site that is directly impacted by development activity including: building structures, hardscaping, access roads, car parking and non-building facilities.</t>
    </r>
  </si>
  <si>
    <r>
      <rPr>
        <b/>
        <sz val="10"/>
        <color rgb="FF76923C"/>
        <rFont val="Arial"/>
        <family val="2"/>
      </rPr>
      <t>Hardscaping</t>
    </r>
    <r>
      <rPr>
        <b/>
        <sz val="10"/>
        <color rgb="FF943634"/>
        <rFont val="Arial"/>
        <family val="2"/>
      </rPr>
      <t xml:space="preserve"> </t>
    </r>
    <r>
      <rPr>
        <sz val="10"/>
        <rFont val="Arial"/>
        <family val="2"/>
      </rPr>
      <t xml:space="preserve">- The practice of landscaping that refers to paved areas like streets &amp; sidewalks. </t>
    </r>
  </si>
  <si>
    <r>
      <rPr>
        <b/>
        <sz val="10"/>
        <color rgb="FF76923C"/>
        <rFont val="Arial"/>
        <family val="2"/>
      </rPr>
      <t>Non-Building area</t>
    </r>
    <r>
      <rPr>
        <sz val="10"/>
        <rFont val="Arial"/>
        <family val="2"/>
      </rPr>
      <t xml:space="preserve"> - The site area minus the building footprint. Includes Open space as well as hardscaping, access roads, car parking and non-building facilities. </t>
    </r>
  </si>
  <si>
    <r>
      <rPr>
        <b/>
        <sz val="10"/>
        <color rgb="FF76923C"/>
        <rFont val="Arial"/>
        <family val="2"/>
      </rPr>
      <t>Site Area</t>
    </r>
    <r>
      <rPr>
        <sz val="10"/>
        <rFont val="Arial"/>
        <family val="2"/>
      </rPr>
      <t xml:space="preserve"> - The total area of the building site. </t>
    </r>
  </si>
  <si>
    <r>
      <rPr>
        <b/>
        <sz val="10"/>
        <color rgb="FF76923C"/>
        <rFont val="Arial"/>
        <family val="2"/>
      </rPr>
      <t>Vegetated Area</t>
    </r>
    <r>
      <rPr>
        <b/>
        <sz val="10"/>
        <color rgb="FF943634"/>
        <rFont val="Arial"/>
        <family val="2"/>
      </rPr>
      <t xml:space="preserve"> </t>
    </r>
    <r>
      <rPr>
        <sz val="10"/>
        <rFont val="Arial"/>
        <family val="2"/>
      </rPr>
      <t xml:space="preserve">- Any area on the building site that is not paved and has plant cover. </t>
    </r>
  </si>
  <si>
    <t>Number of basements (if any)</t>
  </si>
  <si>
    <t>PROJECT GENERAL INFORMATION</t>
  </si>
  <si>
    <r>
      <t>Site area (m</t>
    </r>
    <r>
      <rPr>
        <vertAlign val="superscript"/>
        <sz val="10"/>
        <rFont val="Arial"/>
        <family val="2"/>
      </rPr>
      <t>2</t>
    </r>
    <r>
      <rPr>
        <sz val="10"/>
        <rFont val="Arial"/>
        <family val="2"/>
      </rPr>
      <t>)</t>
    </r>
  </si>
  <si>
    <r>
      <t>Building footprint (m</t>
    </r>
    <r>
      <rPr>
        <vertAlign val="superscript"/>
        <sz val="10"/>
        <rFont val="Arial"/>
        <family val="2"/>
      </rPr>
      <t>2</t>
    </r>
    <r>
      <rPr>
        <sz val="10"/>
        <rFont val="Arial"/>
        <family val="2"/>
      </rPr>
      <t>)</t>
    </r>
  </si>
  <si>
    <r>
      <t>Landscape area (m</t>
    </r>
    <r>
      <rPr>
        <vertAlign val="superscript"/>
        <sz val="10"/>
        <rFont val="Arial"/>
        <family val="2"/>
      </rPr>
      <t>2</t>
    </r>
    <r>
      <rPr>
        <sz val="10"/>
        <rFont val="Arial"/>
        <family val="2"/>
      </rPr>
      <t>)</t>
    </r>
  </si>
  <si>
    <r>
      <t>Hardscape area (m</t>
    </r>
    <r>
      <rPr>
        <vertAlign val="superscript"/>
        <sz val="10"/>
        <rFont val="Arial"/>
        <family val="2"/>
      </rPr>
      <t>2</t>
    </r>
    <r>
      <rPr>
        <sz val="10"/>
        <rFont val="Arial"/>
        <family val="2"/>
      </rPr>
      <t>)</t>
    </r>
  </si>
  <si>
    <t>Project typologies</t>
  </si>
  <si>
    <r>
      <t>GFA (m</t>
    </r>
    <r>
      <rPr>
        <vertAlign val="superscript"/>
        <sz val="10"/>
        <rFont val="Arial"/>
        <family val="2"/>
      </rPr>
      <t>2</t>
    </r>
    <r>
      <rPr>
        <sz val="10"/>
        <rFont val="Arial"/>
        <family val="2"/>
      </rPr>
      <t>)</t>
    </r>
  </si>
  <si>
    <t>APPLICANT INFORMATION</t>
  </si>
  <si>
    <t>Applicant</t>
  </si>
  <si>
    <t>Applicant Representative</t>
  </si>
  <si>
    <t>Description of the project</t>
  </si>
  <si>
    <t>Documents are clearly named with a reference to the credit (for example, E-2 - Technical data of SHGC values, H-6 Window and Doors plan)</t>
  </si>
  <si>
    <t>Application 1.2</t>
  </si>
  <si>
    <t>Application 1.3</t>
  </si>
  <si>
    <t>Application 1.4</t>
  </si>
  <si>
    <t>Application 1.5</t>
  </si>
  <si>
    <t>Application 2.1</t>
  </si>
  <si>
    <t>Application 2.2</t>
  </si>
  <si>
    <t>Application 2.3</t>
  </si>
  <si>
    <t>Application 2.4</t>
  </si>
  <si>
    <t>Application 3.0</t>
  </si>
  <si>
    <t xml:space="preserve">
Average Refrigerant Atmospheric Impact of all the air-conditioning systems installed in the building is below 11</t>
  </si>
  <si>
    <t>To reduce the average Refrigerant Atmospheric Impact of air-conditioning systems, projects are encouraged to:</t>
  </si>
  <si>
    <r>
      <rPr>
        <sz val="10"/>
        <rFont val="Calibri"/>
        <family val="2"/>
      </rPr>
      <t>•</t>
    </r>
    <r>
      <rPr>
        <sz val="10"/>
        <rFont val="Arial"/>
        <family val="2"/>
      </rPr>
      <t xml:space="preserve"> Select refrigerants that have a limited atmospheric impact. In general, such refrigerants should have both low GWP</t>
    </r>
    <r>
      <rPr>
        <vertAlign val="subscript"/>
        <sz val="10"/>
        <rFont val="Arial"/>
        <family val="2"/>
      </rPr>
      <t>100</t>
    </r>
    <r>
      <rPr>
        <sz val="10"/>
        <rFont val="Arial"/>
        <family val="2"/>
      </rPr>
      <t xml:space="preserve"> values (under 2000) and ODP values of 0. </t>
    </r>
  </si>
  <si>
    <r>
      <rPr>
        <sz val="10"/>
        <rFont val="Calibri"/>
        <family val="2"/>
      </rPr>
      <t>•</t>
    </r>
    <r>
      <rPr>
        <sz val="10"/>
        <rFont val="Arial"/>
        <family val="2"/>
      </rPr>
      <t xml:space="preserve"> Select equipment which uses a low refrigerant charge (centralised direct expansion systems to be avoided) </t>
    </r>
  </si>
  <si>
    <r>
      <rPr>
        <sz val="10"/>
        <rFont val="Calibri"/>
        <family val="2"/>
      </rPr>
      <t>•</t>
    </r>
    <r>
      <rPr>
        <sz val="10"/>
        <rFont val="Arial"/>
        <family val="2"/>
      </rPr>
      <t xml:space="preserve"> Select equipment which can ensure a lower leakage rate of the refrigerant (under 2% per year)</t>
    </r>
  </si>
  <si>
    <t>Calculation</t>
  </si>
  <si>
    <t>Complete the Table below with the following inputs on all the air-conditioning systems installed:</t>
  </si>
  <si>
    <t>• ODPr = Ozone Depletion Potential of Refrigerant (0 to 0.2 kg CFC 11/kg r) coming from the stratospheric ozone protection regulations at 40 CFR Part 82</t>
  </si>
  <si>
    <t xml:space="preserve">• Lr = Refrigerant Leakage Rate (0.5% to 2.0%; default of 2% unless otherwise demonstrated) </t>
  </si>
  <si>
    <t xml:space="preserve">• Mr = End-of-life Refrigerant Loss (2% to 10%; default of 10% unless otherwise demonstrated) </t>
  </si>
  <si>
    <t xml:space="preserve">• Life = Equipment Life (default based on Table WP.2, unless otherwise demonstrated) </t>
  </si>
  <si>
    <t>System 1</t>
  </si>
  <si>
    <t>System 2</t>
  </si>
  <si>
    <t>System 3</t>
  </si>
  <si>
    <t>System 4</t>
  </si>
  <si>
    <t>System 5</t>
  </si>
  <si>
    <t>System 6</t>
  </si>
  <si>
    <t>System 7</t>
  </si>
  <si>
    <t>System 8</t>
  </si>
  <si>
    <t>Number of Units</t>
  </si>
  <si>
    <t>Refrigerant Type</t>
  </si>
  <si>
    <r>
      <t xml:space="preserve"> Cooling capacity Q</t>
    </r>
    <r>
      <rPr>
        <vertAlign val="subscript"/>
        <sz val="10"/>
        <color theme="0"/>
        <rFont val="Arial"/>
        <family val="2"/>
      </rPr>
      <t xml:space="preserve">unit </t>
    </r>
    <r>
      <rPr>
        <sz val="10"/>
        <color theme="0"/>
        <rFont val="Arial"/>
        <family val="2"/>
      </rPr>
      <t>(kW)</t>
    </r>
  </si>
  <si>
    <t>Total refrigerant charge (kg)</t>
  </si>
  <si>
    <t>Refrigerant Charge Rc (kg/kW)</t>
  </si>
  <si>
    <t xml:space="preserve">Ozone Depletion Potential ODPr </t>
  </si>
  <si>
    <r>
      <t>Global Warming Potential GWPr</t>
    </r>
    <r>
      <rPr>
        <vertAlign val="subscript"/>
        <sz val="10"/>
        <color theme="0"/>
        <rFont val="Arial"/>
        <family val="2"/>
      </rPr>
      <t>100</t>
    </r>
    <r>
      <rPr>
        <sz val="10"/>
        <color theme="0"/>
        <rFont val="Arial"/>
        <family val="2"/>
      </rPr>
      <t xml:space="preserve"> </t>
    </r>
  </si>
  <si>
    <t>Annual Leakage Rate Lr (%)</t>
  </si>
  <si>
    <t>Annual Leakage Rate</t>
  </si>
  <si>
    <t>End of Life Refrigerant Loss Mr (%)</t>
  </si>
  <si>
    <t>End of Life Refrigerant Loss</t>
  </si>
  <si>
    <t>Equipment Life (years)</t>
  </si>
  <si>
    <t>Equipment Life</t>
  </si>
  <si>
    <t>Lifecycle ODP</t>
  </si>
  <si>
    <t>Lifecycle GWP</t>
  </si>
  <si>
    <t>Refrigerant atmospheric impact</t>
  </si>
  <si>
    <t>Average Refrigerant Atmospheric Impact of all systems</t>
  </si>
  <si>
    <t>• Evidence of the equipment installed, such as photographs, invoices, receipts, commissioning report, etc.</t>
  </si>
  <si>
    <t xml:space="preserve">• Manufacturer’s published data of the equipment indicating the type and volume of refrigerants used </t>
  </si>
  <si>
    <t>R32</t>
  </si>
  <si>
    <t xml:space="preserve">• Rc = Refrigerant Charge (from 0.2 to 2.3 kg of refrigerant per kW of rated cooling capacity) </t>
  </si>
  <si>
    <t>LE-7 Refrigerants (Performance Path)</t>
  </si>
  <si>
    <t>Refrigerant</t>
  </si>
  <si>
    <t>ODP</t>
  </si>
  <si>
    <r>
      <t>GWP</t>
    </r>
    <r>
      <rPr>
        <vertAlign val="subscript"/>
        <sz val="10"/>
        <color rgb="FFFFFFFF"/>
        <rFont val="Arial"/>
        <family val="2"/>
      </rPr>
      <t>100</t>
    </r>
  </si>
  <si>
    <t>R134a</t>
  </si>
  <si>
    <t>R407A</t>
  </si>
  <si>
    <t>R407C</t>
  </si>
  <si>
    <t>R410A</t>
  </si>
  <si>
    <r>
      <t>• GWPr</t>
    </r>
    <r>
      <rPr>
        <vertAlign val="subscript"/>
        <sz val="10"/>
        <rFont val="Arial"/>
        <family val="2"/>
      </rPr>
      <t>100</t>
    </r>
    <r>
      <rPr>
        <sz val="10"/>
        <rFont val="Arial"/>
        <family val="2"/>
      </rPr>
      <t xml:space="preserve"> = Global Warming Potential of Refrigerant (0 to 12,000 kg CO2/kg r) coming from the IPCC Fourth Assessment Report (AR4) in 2007 or the IPCC Fifth Assessment (AR5) in 2013.</t>
    </r>
  </si>
  <si>
    <r>
      <rPr>
        <i/>
        <sz val="10"/>
        <color rgb="FF76923C"/>
        <rFont val="Arial"/>
        <family val="2"/>
      </rPr>
      <t>Table</t>
    </r>
    <r>
      <rPr>
        <i/>
        <sz val="10"/>
        <color rgb="FF4A562A"/>
        <rFont val="Arial"/>
        <family val="2"/>
      </rPr>
      <t xml:space="preserve">: </t>
    </r>
    <r>
      <rPr>
        <i/>
        <sz val="10"/>
        <rFont val="Arial"/>
        <family val="2"/>
      </rPr>
      <t>Recommended Lifetime values for different types of equipment (Source: ASHRAE Applications Handbook, 2007)</t>
    </r>
  </si>
  <si>
    <r>
      <rPr>
        <i/>
        <sz val="10"/>
        <color rgb="FF76923C"/>
        <rFont val="Arial"/>
        <family val="2"/>
      </rPr>
      <t>Table</t>
    </r>
    <r>
      <rPr>
        <i/>
        <sz val="10"/>
        <rFont val="Arial"/>
        <family val="2"/>
      </rPr>
      <t>: ODP and GWP</t>
    </r>
    <r>
      <rPr>
        <i/>
        <vertAlign val="subscript"/>
        <sz val="10"/>
        <rFont val="Arial"/>
        <family val="2"/>
      </rPr>
      <t>100</t>
    </r>
    <r>
      <rPr>
        <i/>
        <sz val="10"/>
        <rFont val="Arial"/>
        <family val="2"/>
      </rPr>
      <t xml:space="preserve"> values of some refrigerants
 (values from IPCC Fourth Assessment Report 2007)</t>
    </r>
  </si>
  <si>
    <t>Recommended Lifetime (years)</t>
  </si>
  <si>
    <t>Window air-conditioning units and heat pumps</t>
  </si>
  <si>
    <t>Unitary, split, and packaged air-conditioning units and heat pumps</t>
  </si>
  <si>
    <t>Reciprocating compressors, scroll compressors and reciprocating chillers</t>
  </si>
  <si>
    <t>Water cooled packaged air-conditioners</t>
  </si>
  <si>
    <t>Centrifugal and screw chillers</t>
  </si>
  <si>
    <t>R32 is a HFC refrigerant with a relatively low Global Warming Potential (1/3 that of R410A, one of the most common refrigerants in use).</t>
  </si>
  <si>
    <t>R32 is also very energy efficient meaning that air conditioners using it emit fewer greenhouse gases and require less refrigerant volume to operate.</t>
  </si>
  <si>
    <t>Install no air-conditioning systems or install air-conditioning systems using the refrigerant R32</t>
  </si>
  <si>
    <t>• Are the installed air-conditioning systems using R32?</t>
  </si>
  <si>
    <t>• Technical data of all the air-conditioning systems installed showing that the refrigerant R32 is used</t>
  </si>
  <si>
    <t>Analyse potential disturbances during construction and implement appropriate best management practices to control stormwater pollution, erosion and sedimentation.</t>
  </si>
  <si>
    <t xml:space="preserve">Design of the project must comply with the requirements of QCVN 10:2014/BXD. </t>
  </si>
  <si>
    <t>Is the building compliant with the following requirements from QCVN 10:2014/BXD?</t>
  </si>
  <si>
    <t>• Disability parking spots and bus stop (if any)</t>
  </si>
  <si>
    <t>• Access to the building</t>
  </si>
  <si>
    <t>• Exit</t>
  </si>
  <si>
    <t>• Main entrance of the building</t>
  </si>
  <si>
    <t>• Doors</t>
  </si>
  <si>
    <t>• Elevators</t>
  </si>
  <si>
    <t>• Public spaces in the building (lobbies, seats and toilets)</t>
  </si>
  <si>
    <t>• Road and pavement</t>
  </si>
  <si>
    <t>• Signage</t>
  </si>
  <si>
    <t>Description showing compliance</t>
  </si>
  <si>
    <t>Reply to the questions below on the Access for People with disabilities:</t>
  </si>
  <si>
    <r>
      <rPr>
        <b/>
        <sz val="10"/>
        <color rgb="FF76923C"/>
        <rFont val="Arial"/>
        <family val="2"/>
      </rPr>
      <t>Building envelope</t>
    </r>
    <r>
      <rPr>
        <sz val="10"/>
        <rFont val="Arial"/>
        <family val="2"/>
      </rPr>
      <t xml:space="preserve"> - The elements of a building that enclose conditioned spaces through which thermal energy may be transferred to or from the exterior or to or from unconditioned spaces.</t>
    </r>
  </si>
  <si>
    <r>
      <rPr>
        <b/>
        <sz val="10"/>
        <color rgb="FF76923C"/>
        <rFont val="Arial"/>
        <family val="2"/>
      </rPr>
      <t>Coefficient of performance (COP)</t>
    </r>
    <r>
      <rPr>
        <sz val="10"/>
        <rFont val="Arial"/>
        <family val="2"/>
      </rPr>
      <t xml:space="preserve"> - The ratio of the rate of heat removal to the rate of energy input in consistent units, for a complete cooling system or factory assembled equipment, as tested under a nationally recognised standard or designated operating conditions. </t>
    </r>
  </si>
  <si>
    <r>
      <rPr>
        <b/>
        <sz val="10"/>
        <color rgb="FF76923C"/>
        <rFont val="Arial"/>
        <family val="2"/>
      </rPr>
      <t>Fenestration</t>
    </r>
    <r>
      <rPr>
        <sz val="10"/>
        <rFont val="Arial"/>
        <family val="2"/>
      </rPr>
      <t xml:space="preserve"> - Any light-transmitting component in a building wall or roof. The fenestration includes glazing material (which may be glass or plastic), framing, external shading devices, internal shading devices, and integral (between-glass) shading devices.</t>
    </r>
  </si>
  <si>
    <r>
      <rPr>
        <b/>
        <sz val="10"/>
        <color rgb="FF76923C"/>
        <rFont val="Arial"/>
        <family val="2"/>
      </rPr>
      <t>Lumen (Lm)</t>
    </r>
    <r>
      <rPr>
        <sz val="10"/>
        <rFont val="Arial"/>
        <family val="2"/>
      </rPr>
      <t xml:space="preserve"> - SI unit of luminous flux. Radio-metrically, it is determined from the radiant power. Photo-metrically, it is the luminous flux emitted within a unit solid angle (one steradian) by a point source having a uniform luminous intensity of one candela.</t>
    </r>
  </si>
  <si>
    <r>
      <rPr>
        <b/>
        <sz val="10"/>
        <color rgb="FF76923C"/>
        <rFont val="Arial"/>
        <family val="2"/>
      </rPr>
      <t>Natural lighting</t>
    </r>
    <r>
      <rPr>
        <sz val="10"/>
        <rFont val="Arial"/>
        <family val="2"/>
      </rPr>
      <t xml:space="preserve"> - Technologies or design strategies used to provide lighting to buildings without power consumption. Although maximizing natural lighting will minimize electricity consumption used for lighting, too much solar irradiation will heat up the building and increase cooling load.</t>
    </r>
  </si>
  <si>
    <r>
      <rPr>
        <b/>
        <sz val="10"/>
        <color rgb="FF76923C"/>
        <rFont val="Arial"/>
        <family val="2"/>
      </rPr>
      <t>Natural ventilation</t>
    </r>
    <r>
      <rPr>
        <sz val="10"/>
        <color rgb="FF76923C"/>
        <rFont val="Arial"/>
        <family val="2"/>
      </rPr>
      <t xml:space="preserve"> </t>
    </r>
    <r>
      <rPr>
        <sz val="10"/>
        <rFont val="Arial"/>
        <family val="2"/>
      </rPr>
      <t>- Technologies or design features used to ventilate buildings without power consumption. Natural ventilation, unlike fan-forced ventilation, uses the natural forces of wind and buoyancy to deliver fresh air into buildings.</t>
    </r>
  </si>
  <si>
    <r>
      <rPr>
        <b/>
        <sz val="10"/>
        <color rgb="FF76923C"/>
        <rFont val="Arial"/>
        <family val="2"/>
      </rPr>
      <t>Non-baked materials</t>
    </r>
    <r>
      <rPr>
        <sz val="10"/>
        <rFont val="Arial"/>
        <family val="2"/>
      </rPr>
      <t xml:space="preserve"> - Also called Non-fired materials. They are building materials that solidify and meet all required physical properties (compressive strength, bending strength, water absorption, etc.) without undergoing the firing process. In the Decision No. 567/QD-TTg of April 28, 2010 (Approving the Program on development of non-baked building materials through 2020), the Vietnamese government has officially supported the development of non-baked materials to replace traditionally baked bricks, a main cause of pollution and energy waste.</t>
    </r>
  </si>
  <si>
    <r>
      <rPr>
        <b/>
        <sz val="10"/>
        <color rgb="FF76923C"/>
        <rFont val="Arial"/>
        <family val="2"/>
      </rPr>
      <t>Overall Thermal Transfer Value</t>
    </r>
    <r>
      <rPr>
        <sz val="10"/>
        <color rgb="FF76923C"/>
        <rFont val="Arial"/>
        <family val="2"/>
      </rPr>
      <t xml:space="preserve"> </t>
    </r>
    <r>
      <rPr>
        <b/>
        <sz val="10"/>
        <color rgb="FF76923C"/>
        <rFont val="Arial"/>
        <family val="2"/>
      </rPr>
      <t>(OTTV)</t>
    </r>
    <r>
      <rPr>
        <sz val="10"/>
        <rFont val="Arial"/>
        <family val="2"/>
      </rPr>
      <t xml:space="preserve"> - OTTV is a measure of the average heat gain into a building through its envelope. It is measured in W/m2. A building with a higher OTTV will impose a greater load on the air-conditioning system, which would have to expend more electrical energy in removing it. The aim of low OTTV is to ensure adequately designed building envelopes which cut down external heat gains and hence reduce the cooling load of air-conditioning systems.</t>
    </r>
  </si>
  <si>
    <r>
      <rPr>
        <b/>
        <sz val="10"/>
        <color rgb="FF76923C"/>
        <rFont val="Arial"/>
        <family val="2"/>
      </rPr>
      <t>Rapidly renewable materials</t>
    </r>
    <r>
      <rPr>
        <sz val="10"/>
        <rFont val="Arial"/>
        <family val="2"/>
      </rPr>
      <t xml:space="preserve"> - A rapidly renewable material is a source that can regenerate what has once been harvested within 10 years or less.</t>
    </r>
  </si>
  <si>
    <r>
      <rPr>
        <b/>
        <sz val="10"/>
        <color rgb="FF76923C"/>
        <rFont val="Arial"/>
        <family val="2"/>
      </rPr>
      <t>Refrigerant</t>
    </r>
    <r>
      <rPr>
        <sz val="10"/>
        <rFont val="Arial"/>
        <family val="2"/>
      </rPr>
      <t xml:space="preserve"> - A refrigerant is a compound used in a heat cycle that reversibly undergoes a phase change from a gas to a liquid in a process of converting thermal energy to mechanical output.</t>
    </r>
  </si>
  <si>
    <r>
      <rPr>
        <b/>
        <sz val="10"/>
        <color rgb="FF76923C"/>
        <rFont val="Arial"/>
        <family val="2"/>
      </rPr>
      <t>Renewable energy</t>
    </r>
    <r>
      <rPr>
        <sz val="10"/>
        <rFont val="Arial"/>
        <family val="2"/>
      </rPr>
      <t xml:space="preserve"> - Energy generated from sources (sunlight, wind, rain, tides, and geothermal heat) that are replenished naturally and continually.</t>
    </r>
  </si>
  <si>
    <r>
      <rPr>
        <b/>
        <sz val="10"/>
        <color rgb="FF76923C"/>
        <rFont val="Arial"/>
        <family val="2"/>
      </rPr>
      <t>VBEEC</t>
    </r>
    <r>
      <rPr>
        <sz val="10"/>
        <color rgb="FF58AB27"/>
        <rFont val="Arial"/>
        <family val="2"/>
      </rPr>
      <t xml:space="preserve"> </t>
    </r>
    <r>
      <rPr>
        <sz val="10"/>
        <color theme="1"/>
        <rFont val="Arial"/>
        <family val="2"/>
      </rPr>
      <t>- The Vietnam Building Energy Efficiency Code QCXDVN 09:2013/BXD is issued by the Ministry of Construction and is mandatory in Vietnam in order to help meet energy saving goals.</t>
    </r>
  </si>
  <si>
    <r>
      <rPr>
        <b/>
        <sz val="10"/>
        <color rgb="FF76923C"/>
        <rFont val="Arial"/>
        <family val="2"/>
      </rPr>
      <t>Volatile Organic Compound (VOC)</t>
    </r>
    <r>
      <rPr>
        <sz val="10"/>
        <rFont val="Arial"/>
        <family val="2"/>
      </rPr>
      <t xml:space="preserve"> - An organic chemical compound that enters gaseous phase under normal room conditions due to its high vapour pressures. Some VOCs have negative effects on human health when concentrated in poorly ventilated indoor spaces.</t>
    </r>
  </si>
  <si>
    <r>
      <rPr>
        <b/>
        <sz val="10"/>
        <color rgb="FF76923C"/>
        <rFont val="Arial"/>
        <family val="2"/>
      </rPr>
      <t>Ventilation</t>
    </r>
    <r>
      <rPr>
        <b/>
        <sz val="10"/>
        <color rgb="FF943634"/>
        <rFont val="Arial"/>
        <family val="2"/>
      </rPr>
      <t xml:space="preserve"> </t>
    </r>
    <r>
      <rPr>
        <b/>
        <sz val="10"/>
        <rFont val="Arial"/>
        <family val="2"/>
      </rPr>
      <t xml:space="preserve">- </t>
    </r>
    <r>
      <rPr>
        <sz val="10"/>
        <rFont val="Arial"/>
        <family val="2"/>
      </rPr>
      <t>The process of supplying fresh air and removing vitiated air by natural or mechanical means to and from a space. Such air may or may not have been conditioned.</t>
    </r>
  </si>
  <si>
    <r>
      <rPr>
        <b/>
        <sz val="10"/>
        <color rgb="FF76923C"/>
        <rFont val="Arial"/>
        <family val="2"/>
      </rPr>
      <t>Water efficient fixture</t>
    </r>
    <r>
      <rPr>
        <sz val="10"/>
        <rFont val="Arial"/>
        <family val="2"/>
      </rPr>
      <t xml:space="preserve"> - Water-based fixture that requires less amount of water to complete a designed task than most average fixtures</t>
    </r>
  </si>
  <si>
    <r>
      <rPr>
        <b/>
        <sz val="10"/>
        <color rgb="FF76923C"/>
        <rFont val="Arial"/>
        <family val="2"/>
      </rPr>
      <t>Xeriscaping</t>
    </r>
    <r>
      <rPr>
        <sz val="10"/>
        <rFont val="Arial"/>
        <family val="2"/>
      </rPr>
      <t xml:space="preserve"> - Landscaping that minimizes the need for supplemented watering. Xeriscaping is particularly encouraged in areas where fresh water accessibility is limited.</t>
    </r>
  </si>
  <si>
    <r>
      <rPr>
        <b/>
        <sz val="10"/>
        <color rgb="FF76923C"/>
        <rFont val="Arial"/>
        <family val="2"/>
      </rPr>
      <t>Full-time occupants</t>
    </r>
    <r>
      <rPr>
        <sz val="10"/>
        <rFont val="Arial"/>
        <family val="2"/>
      </rPr>
      <t xml:space="preserve"> - Employees/staff in the building. Their number should be calculated based on a daily occupancy of 8 hours. Part-time occupants should be given an equivalent ‘full-time occupants’ value based on the number of hours they spend in the building per day divided by 8.</t>
    </r>
  </si>
  <si>
    <r>
      <rPr>
        <b/>
        <sz val="10"/>
        <color rgb="FF76923C"/>
        <rFont val="Arial"/>
        <family val="2"/>
      </rPr>
      <t>Net Occupied Area (NOA)</t>
    </r>
    <r>
      <rPr>
        <b/>
        <sz val="10"/>
        <color rgb="FF943634"/>
        <rFont val="Arial"/>
        <family val="2"/>
      </rPr>
      <t xml:space="preserve"> </t>
    </r>
    <r>
      <rPr>
        <sz val="10"/>
        <rFont val="Arial"/>
        <family val="2"/>
      </rPr>
      <t>- The sum of the areas of all the occupied spaces of the project.</t>
    </r>
  </si>
  <si>
    <r>
      <rPr>
        <b/>
        <sz val="10"/>
        <color rgb="FF76923C"/>
        <rFont val="Arial"/>
        <family val="2"/>
      </rPr>
      <t>Illuminance</t>
    </r>
    <r>
      <rPr>
        <sz val="10"/>
        <rFont val="Arial"/>
        <family val="2"/>
      </rPr>
      <t xml:space="preserve"> - The density of the luminous flux incident on a surface. It is measured in lux or lm/m</t>
    </r>
    <r>
      <rPr>
        <vertAlign val="superscript"/>
        <sz val="10"/>
        <rFont val="Arial"/>
        <family val="2"/>
      </rPr>
      <t xml:space="preserve">2 </t>
    </r>
    <r>
      <rPr>
        <sz val="10"/>
        <rFont val="Arial"/>
        <family val="2"/>
      </rPr>
      <t>and is equal to the luminous flux (lumen) divided by the area (m</t>
    </r>
    <r>
      <rPr>
        <vertAlign val="superscript"/>
        <sz val="10"/>
        <rFont val="Arial"/>
        <family val="2"/>
      </rPr>
      <t>2</t>
    </r>
    <r>
      <rPr>
        <sz val="10"/>
        <rFont val="Arial"/>
        <family val="2"/>
      </rPr>
      <t>) of the surface when the latter is uniformly illuminated.</t>
    </r>
  </si>
  <si>
    <r>
      <rPr>
        <b/>
        <sz val="10"/>
        <color rgb="FF76923C"/>
        <rFont val="Arial"/>
        <family val="2"/>
      </rPr>
      <t xml:space="preserve">Daylight factor (DF) </t>
    </r>
    <r>
      <rPr>
        <sz val="10"/>
        <rFont val="Arial"/>
        <family val="2"/>
      </rPr>
      <t>- DF is the ratio of the light level inside a room to the light level outdoors. It is used to assess the internal natural lighting levels as perceived on working planes or surfaces.</t>
    </r>
  </si>
  <si>
    <r>
      <rPr>
        <sz val="11"/>
        <color theme="1"/>
        <rFont val="Calibri"/>
        <family val="2"/>
      </rPr>
      <t xml:space="preserve">• </t>
    </r>
    <r>
      <rPr>
        <sz val="11"/>
        <color theme="1"/>
        <rFont val="Calibri"/>
        <family val="2"/>
        <scheme val="minor"/>
      </rPr>
      <t xml:space="preserve">Educational buildings 
• Healthcare buildings
• Office Buildings 
• Sport buildings
• Cultural buildings
• Retail Buildings
• Communication buildings and Telecommunication buildings
• Transport Service Buildings
</t>
    </r>
  </si>
  <si>
    <t>Scope</t>
  </si>
  <si>
    <t>Eligibility</t>
  </si>
  <si>
    <t>1. Whole distinct building</t>
  </si>
  <si>
    <t>2. Building GFA</t>
  </si>
  <si>
    <t>3. Major refurbishment</t>
  </si>
  <si>
    <r>
      <rPr>
        <b/>
        <sz val="10"/>
        <color rgb="FF76923C"/>
        <rFont val="Arial"/>
        <family val="2"/>
      </rPr>
      <t>Addition</t>
    </r>
    <r>
      <rPr>
        <sz val="10"/>
        <rFont val="Arial"/>
        <family val="2"/>
      </rPr>
      <t xml:space="preserve"> - Construction work on an existing building resulting in an increased floor area.</t>
    </r>
  </si>
  <si>
    <r>
      <rPr>
        <b/>
        <sz val="10"/>
        <color rgb="FF76923C"/>
        <rFont val="Arial"/>
        <family val="2"/>
      </rPr>
      <t>Alteration</t>
    </r>
    <r>
      <rPr>
        <sz val="10"/>
        <rFont val="Arial"/>
        <family val="2"/>
      </rPr>
      <t xml:space="preserve"> - Improvement work not related to the primary structural components, exterior shell or roof of the building. Specifically renovation work that may result in changes to the building envelope or floor plan, such as removing/erecting interior walls, removing/installing new windows. This does not include minor changes such as the installation of new water fixtures, replacement of electrical equipment, replacement of windows etc.</t>
    </r>
  </si>
  <si>
    <r>
      <rPr>
        <b/>
        <sz val="10"/>
        <color rgb="FF76923C"/>
        <rFont val="Arial"/>
        <family val="2"/>
      </rPr>
      <t>HVAC (Heating, Ventilating and Air Conditioning)</t>
    </r>
    <r>
      <rPr>
        <sz val="10"/>
        <rFont val="Arial"/>
        <family val="2"/>
      </rPr>
      <t xml:space="preserve"> - The equipment, distribution network, and terminals that provides either collectively or individually the processes of heating, ventilating, or air conditioning to a building.</t>
    </r>
  </si>
  <si>
    <r>
      <t>H-3 CO</t>
    </r>
    <r>
      <rPr>
        <b/>
        <vertAlign val="subscript"/>
        <sz val="18"/>
        <color indexed="9"/>
        <rFont val="Arial"/>
        <family val="2"/>
      </rPr>
      <t>2</t>
    </r>
    <r>
      <rPr>
        <b/>
        <sz val="18"/>
        <color indexed="9"/>
        <rFont val="Arial"/>
        <family val="2"/>
      </rPr>
      <t xml:space="preserve"> Monitoring</t>
    </r>
  </si>
  <si>
    <t>Click on the links on 
the right to navigate to
 other Water credits</t>
  </si>
  <si>
    <t xml:space="preserve">Install pot plants inside the building, on balconies and on the rooftop. </t>
  </si>
  <si>
    <t>A Building Operation &amp; Maintenance Manual should be formed and kept in the building.</t>
  </si>
  <si>
    <t>• Has a solar hot water system been installed to cover the hot water demand of the building?</t>
  </si>
  <si>
    <t>• Has a heat pump water heating system been installed to cover the hot water demand of the building?</t>
  </si>
  <si>
    <t xml:space="preserve">Install a drinking water filtration system supplying at least one faucet in the building </t>
  </si>
  <si>
    <t xml:space="preserve">• Reused windows and doors (can be salvaged from a previous building or purchased from a second-hand retailer) </t>
  </si>
  <si>
    <t>• Reused Furniture (can be either reused from previous building or purchased from a second-hand retailer)</t>
  </si>
  <si>
    <t>CM-BPC-4 Public Space</t>
  </si>
  <si>
    <r>
      <rPr>
        <b/>
        <sz val="10"/>
        <rFont val="Arial"/>
        <family val="2"/>
      </rPr>
      <t>CM-BPC-4 Public Space</t>
    </r>
    <r>
      <rPr>
        <sz val="10"/>
        <rFont val="Arial"/>
        <family val="2"/>
      </rPr>
      <t xml:space="preserve">
10% of the site area is public space</t>
    </r>
  </si>
  <si>
    <t xml:space="preserve">Set aside a portion of the space for use and enjoyment by the public. </t>
  </si>
  <si>
    <t>Public spaces are any space which is open to the general public, not limited to building occupants. Examples of public space include but are not limited to:</t>
  </si>
  <si>
    <r>
      <rPr>
        <sz val="10"/>
        <rFont val="Calibri Light"/>
        <family val="2"/>
        <scheme val="major"/>
      </rPr>
      <t xml:space="preserve">• </t>
    </r>
    <r>
      <rPr>
        <sz val="10"/>
        <rFont val="Arial"/>
        <family val="2"/>
      </rPr>
      <t>Piazzas, city squares</t>
    </r>
  </si>
  <si>
    <r>
      <rPr>
        <sz val="10"/>
        <rFont val="Calibri"/>
        <family val="2"/>
        <scheme val="minor"/>
      </rPr>
      <t>•</t>
    </r>
    <r>
      <rPr>
        <sz val="10"/>
        <rFont val="Arial"/>
        <family val="2"/>
      </rPr>
      <t xml:space="preserve"> Green space, such as parks</t>
    </r>
  </si>
  <si>
    <r>
      <rPr>
        <sz val="10"/>
        <rFont val="Calibri Light"/>
        <family val="2"/>
        <scheme val="major"/>
      </rPr>
      <t>•</t>
    </r>
    <r>
      <rPr>
        <sz val="10"/>
        <rFont val="Arial"/>
        <family val="2"/>
      </rPr>
      <t xml:space="preserve"> Beaches</t>
    </r>
  </si>
  <si>
    <r>
      <t>Site area (m</t>
    </r>
    <r>
      <rPr>
        <vertAlign val="superscript"/>
        <sz val="10"/>
        <color theme="0"/>
        <rFont val="Arial"/>
        <family val="2"/>
      </rPr>
      <t>2</t>
    </r>
    <r>
      <rPr>
        <sz val="10"/>
        <color theme="0"/>
        <rFont val="Arial"/>
        <family val="2"/>
      </rPr>
      <t>)</t>
    </r>
  </si>
  <si>
    <t>Complete the information below on the site and public space:</t>
  </si>
  <si>
    <r>
      <t>Public space area (m</t>
    </r>
    <r>
      <rPr>
        <vertAlign val="superscript"/>
        <sz val="10"/>
        <color theme="0"/>
        <rFont val="Arial"/>
        <family val="2"/>
      </rPr>
      <t>2</t>
    </r>
    <r>
      <rPr>
        <sz val="10"/>
        <color theme="0"/>
        <rFont val="Arial"/>
        <family val="2"/>
      </rPr>
      <t>)</t>
    </r>
  </si>
  <si>
    <t>Percentage of public space (%)</t>
  </si>
  <si>
    <t>• Evidence showing the public space such as photographs, plans, etc.</t>
  </si>
  <si>
    <t>For 2 points, install low flow kitchen and bathroom taps</t>
  </si>
  <si>
    <t>For 1 point, install low flow shower heads</t>
  </si>
  <si>
    <t>• Manufacturer's data for each water efficient fixtures installed showing the water usage of the fixture (flowrate, flush size)</t>
  </si>
  <si>
    <t>Dual Flush</t>
  </si>
  <si>
    <r>
      <rPr>
        <b/>
        <sz val="10"/>
        <rFont val="Arial"/>
        <family val="2"/>
      </rPr>
      <t>Strategy B: Plug load controls</t>
    </r>
    <r>
      <rPr>
        <sz val="10"/>
        <rFont val="Arial"/>
        <family val="2"/>
      </rPr>
      <t xml:space="preserve">
Install plug load controls for 50% of plug points</t>
    </r>
  </si>
  <si>
    <t>Strategy A: Appliances with Energy Efficiency labels</t>
  </si>
  <si>
    <t>Strategy B: Plug load controls</t>
  </si>
  <si>
    <t>Application &amp; Implementation</t>
  </si>
  <si>
    <t xml:space="preserve">Install plug load controls for at least 50% of plug points. </t>
  </si>
  <si>
    <t>Plug load controls installed should be automatic control devices that function either on:</t>
  </si>
  <si>
    <t xml:space="preserve">• a scheduled basis using a time-of-day operated control device that turns receptacles off at specific programmed times </t>
  </si>
  <si>
    <t>• or, a signal from another control or alarm system that indicates the area is unoccupied</t>
  </si>
  <si>
    <t>Total number of plug points</t>
  </si>
  <si>
    <t>Total number of plug points controlled with a schedule</t>
  </si>
  <si>
    <t>Total number of plug points controlled with an occupant sensor</t>
  </si>
  <si>
    <t>Total number of plug points controlled with a signal from another control</t>
  </si>
  <si>
    <t>Only for hotel and motel rooms:</t>
  </si>
  <si>
    <t>Total number of plug points controlled with a key card system</t>
  </si>
  <si>
    <t xml:space="preserve">Total number of plug points designated for equipment requiring 24 hour operation or situated in spaces where an automatic shutoff would endanger the safety or security of the room or building occupants </t>
  </si>
  <si>
    <t>Percentage of plug points controlled [%]</t>
  </si>
  <si>
    <t xml:space="preserve">The general concept for plug load control is to provide two separate sets of receptacles. 
The electric circuits connected to one set of plugs are controlled by a device that can automatically turn off plug loads. This set of receptacles is called controlled receptacles and are marked differently from others. 
Non-controllable plug loads are connected to un-controlled receptacles so that their services will not be disrupted. 
Similar to general lighting shut off controls, building occupants should have easy access to manual switches to override the shut off controls. </t>
  </si>
  <si>
    <t>• an occupancy sensor that shall turn receptacles off within 30 minutes of all occupants leaving a space;</t>
  </si>
  <si>
    <t>Complete the information below on the plug points and plug load controls installed in the building</t>
  </si>
  <si>
    <t>• For hotel and motel rooms, key card systems that switch off electricity automatically can also be used as plug load controls.</t>
  </si>
  <si>
    <r>
      <t xml:space="preserve">• </t>
    </r>
    <r>
      <rPr>
        <u/>
        <sz val="10"/>
        <rFont val="Arial"/>
        <family val="2"/>
      </rPr>
      <t>Exceptions</t>
    </r>
    <r>
      <rPr>
        <sz val="10"/>
        <rFont val="Arial"/>
        <family val="2"/>
      </rPr>
      <t>: Plug points designated for equipment requiring 24 hour operation or situated in spaces where an automatic shutoff would endanger the safety or security of the room or building occupants can be exempted from calculations.</t>
    </r>
  </si>
  <si>
    <t>Connect the following types of appliances to controlled receptacles in order to limit energy use by products in standby or in an off state but still drawing power:</t>
  </si>
  <si>
    <t>task lighting, monitors, personal fans, audiovisual equipment, and other electronic devices that can be switched off at night without causing harmful consequences</t>
  </si>
  <si>
    <t>Provide a dedicated recycling storage area for use by all building occupants</t>
  </si>
  <si>
    <t>LE-8 Dedicated Recycling Storage Area</t>
  </si>
  <si>
    <t xml:space="preserve">LE-8 Dedicated Recycling Storage Area </t>
  </si>
  <si>
    <t xml:space="preserve">Recycling Storage Area </t>
  </si>
  <si>
    <r>
      <rPr>
        <b/>
        <sz val="10"/>
        <rFont val="Arial"/>
        <family val="2"/>
      </rPr>
      <t>Strategy A: Operation &amp; Maintenance Manual</t>
    </r>
    <r>
      <rPr>
        <sz val="10"/>
        <rFont val="Arial"/>
        <family val="2"/>
      </rPr>
      <t xml:space="preserve">
Provide a Building Operation &amp; Maintenance Manual</t>
    </r>
  </si>
  <si>
    <r>
      <rPr>
        <b/>
        <sz val="10"/>
        <rFont val="Arial"/>
        <family val="2"/>
      </rPr>
      <t>Strategy A: Appliances with Energy Efficiency labels</t>
    </r>
    <r>
      <rPr>
        <sz val="10"/>
        <rFont val="Arial"/>
        <family val="2"/>
      </rPr>
      <t xml:space="preserve">
For 1 point, 50% of appliances and equipment installed have an energy efficiency label
For 2 points, 70% of appliances and equipment installed have an energy efficiency label</t>
    </r>
  </si>
  <si>
    <t>Strategy A: Operation &amp; Maintenance Manual</t>
  </si>
  <si>
    <t>design specifications of the building and how these affect its operation; energy efficiency features; water-saving features; correct operation of HVAC and lighting systems; access, security and safety systems; evacuation/disaster response plan; methods for reporting problems; information on parking, public transportation, car sharing schemes, etc.; waste recycling procedures</t>
  </si>
  <si>
    <t>• Energy efficiency features</t>
  </si>
  <si>
    <t xml:space="preserve">• Water-saving features </t>
  </si>
  <si>
    <t>• Correct operation of HVAC and lighting systems</t>
  </si>
  <si>
    <t>• Access, security and safety systems</t>
  </si>
  <si>
    <t>• Evacuation/disaster response plan</t>
  </si>
  <si>
    <t>• Methods for reporting problems</t>
  </si>
  <si>
    <t>• Information on parking, public transportation, car sharing schemes, etc.</t>
  </si>
  <si>
    <t>• Waste recycling procedures</t>
  </si>
  <si>
    <t>Compliant Building User Guide?</t>
  </si>
  <si>
    <t>• Design specifications of the building and how these affect its operation</t>
  </si>
  <si>
    <t xml:space="preserve">• Copy of the Building Operation &amp; Maintenance Manual (scans or photographs) showing the different documents included </t>
  </si>
  <si>
    <t>Strategy B: Building User guide</t>
  </si>
  <si>
    <t xml:space="preserve">Provide a Building User Guide for occupants. </t>
  </si>
  <si>
    <t>The User Guide should be a non-technical, easy to understand guide with information for users about:</t>
  </si>
  <si>
    <t>If yes, does the User Guide include the following information for users?</t>
  </si>
  <si>
    <t>• Copy of the Building User Guide (scans or photographs)</t>
  </si>
  <si>
    <r>
      <rPr>
        <b/>
        <sz val="10"/>
        <rFont val="Arial"/>
        <family val="2"/>
      </rPr>
      <t>Strategy B: Building User guide</t>
    </r>
    <r>
      <rPr>
        <sz val="10"/>
        <rFont val="Arial"/>
        <family val="2"/>
      </rPr>
      <t xml:space="preserve">
Provide a Building User Guide for building occupants</t>
    </r>
  </si>
  <si>
    <t xml:space="preserve">Strategy C: Green Awareness </t>
  </si>
  <si>
    <r>
      <rPr>
        <b/>
        <sz val="10"/>
        <rFont val="Arial"/>
        <family val="2"/>
      </rPr>
      <t xml:space="preserve">Strategy C: Green Awareness  </t>
    </r>
    <r>
      <rPr>
        <sz val="10"/>
        <rFont val="Arial"/>
        <family val="2"/>
      </rPr>
      <t xml:space="preserve">
Implement a permanent green-awareness campaign</t>
    </r>
  </si>
  <si>
    <t>Implement a permanent green-awareness campaign.</t>
  </si>
  <si>
    <t>Reply to the questions below on the Building User Guide:</t>
  </si>
  <si>
    <t>Reply to the questions below on the green-awareness campaign:</t>
  </si>
  <si>
    <t xml:space="preserve">• impacts of buildings on the environment </t>
  </si>
  <si>
    <t>Compliant green awareness campaign ?</t>
  </si>
  <si>
    <r>
      <rPr>
        <sz val="10"/>
        <rFont val="Calibri"/>
        <family val="2"/>
        <scheme val="minor"/>
      </rPr>
      <t xml:space="preserve">• </t>
    </r>
    <r>
      <rPr>
        <sz val="10"/>
        <rFont val="Arial"/>
        <family val="2"/>
      </rPr>
      <t>Evidence showing that the green awareness campaign is implemented such as photographs, etc.</t>
    </r>
  </si>
  <si>
    <t xml:space="preserve">For 1 point, 50% of the net occupied area achieves a daylight factor of 1% or greater 
For 2 points, 70% of the net occupied area achieves a daylight factor of 1% or greater
For 3 points, 90% of the net occupied area achieves a daylight factor of 1% or greater </t>
  </si>
  <si>
    <t>Occupied space name</t>
  </si>
  <si>
    <r>
      <t>Occupied area with daylighting (m</t>
    </r>
    <r>
      <rPr>
        <vertAlign val="superscript"/>
        <sz val="11"/>
        <color theme="0"/>
        <rFont val="Arial"/>
        <family val="2"/>
      </rPr>
      <t>2</t>
    </r>
    <r>
      <rPr>
        <sz val="11"/>
        <color theme="0"/>
        <rFont val="Arial"/>
        <family val="2"/>
      </rPr>
      <t>)</t>
    </r>
  </si>
  <si>
    <t>Compliant occupied area (%)</t>
  </si>
  <si>
    <t>Occupied spaces should have an average daylight factor above 1%</t>
  </si>
  <si>
    <t>• Plans and elevations outlining occupied spaces, compliant areas and indicating all glazing and its size</t>
  </si>
  <si>
    <t>• Photographs showing occupied spaces with natural lighting</t>
  </si>
  <si>
    <t>• Plans and elevations outlining occupied spaces, daylit areas and indicating all glazing and its size</t>
  </si>
  <si>
    <t>Provide sufficient fresh air supply to a minimum of 90% of the total net occupied area of the building</t>
  </si>
  <si>
    <t>1.1 Minimum illuminance outside of pathway, outdoor shops, yard</t>
  </si>
  <si>
    <t>Occupied spaces of the building comply with the requirements of TCXDVN 175:2005 -  Maximum Permitted Noise Levels for Public Buildings – Design Standard</t>
  </si>
  <si>
    <t>Complete the table below with information on the noise levels in all the occupied rooms:</t>
  </si>
  <si>
    <t>Space type</t>
  </si>
  <si>
    <t xml:space="preserve">Maximum noise level
(dB,A) </t>
  </si>
  <si>
    <t>Correction factor (dB,A)</t>
  </si>
  <si>
    <t>Measured noise level</t>
  </si>
  <si>
    <t>Compliant internal noise levels?</t>
  </si>
  <si>
    <t xml:space="preserve">Provide a sufficiently sized dedicated recycling storage area with recycling bins for the collection, separation and storage of recyclables. </t>
  </si>
  <si>
    <r>
      <t>Size of the recycling storage area (m</t>
    </r>
    <r>
      <rPr>
        <vertAlign val="superscript"/>
        <sz val="10"/>
        <color theme="0"/>
        <rFont val="Arial"/>
        <family val="2"/>
      </rPr>
      <t>2</t>
    </r>
    <r>
      <rPr>
        <sz val="10"/>
        <color theme="0"/>
        <rFont val="Arial"/>
        <family val="2"/>
      </rPr>
      <t>)</t>
    </r>
  </si>
  <si>
    <t>Compliant recycling storage area?</t>
  </si>
  <si>
    <t>Required:</t>
  </si>
  <si>
    <r>
      <t>Gross Floor Area (m</t>
    </r>
    <r>
      <rPr>
        <vertAlign val="superscript"/>
        <sz val="10"/>
        <color rgb="FFFFFFFF"/>
        <rFont val="Arial"/>
        <family val="2"/>
      </rPr>
      <t>2</t>
    </r>
    <r>
      <rPr>
        <sz val="10"/>
        <color rgb="FFFFFFFF"/>
        <rFont val="Arial"/>
        <family val="2"/>
      </rPr>
      <t>)</t>
    </r>
  </si>
  <si>
    <t>Dedicated Recycling Area (% of GFA)</t>
  </si>
  <si>
    <t>• Manufacturer's data of the plug load controls</t>
  </si>
  <si>
    <t>• Evidence showing the plug load controls were installed such as photographs, as-built electrical drawings, material approval request, invoices, etc.</t>
  </si>
  <si>
    <t xml:space="preserve">The green-awareness campaign can be executed by displaying posters or screens in the most frequented areas of the building. </t>
  </si>
  <si>
    <t>As a minimum, the following information should be shown: impacts of buildings on the environment, one sustainability feature or behavioral change related to Energy Conservation or Energy Efficiency, one sustainability feature or behavioral change related to Water Conservation or Water Efficiency and one sustainability feature or behavioral change related to Health &amp; Comfort.</t>
  </si>
  <si>
    <t xml:space="preserve">• a sustainability feature or behavioral change related to Energy Conservation or Energy Efficiency </t>
  </si>
  <si>
    <t>• a sustainability feature or behavioral change related to Water Conservation or Water Efficiency</t>
  </si>
  <si>
    <t>• a sustainability feature or behavioral change related to Health &amp; Comfort</t>
  </si>
  <si>
    <t>If the storage area is smaller than the size required by Table LE.7, justify that the size of the storage area is sufficient:</t>
  </si>
  <si>
    <t>Promote general public awareness about LOTUS and Green Buildings by conducting at least two activities.</t>
  </si>
  <si>
    <t>• Mechanically ventilated spaces:</t>
  </si>
  <si>
    <t>• Mixed-mode ventilated spaces:</t>
  </si>
  <si>
    <t>Calculations should consider all the occupied spaces in the building.</t>
  </si>
  <si>
    <t>Complete the Table below with information on the types of ventilation included in the project:</t>
  </si>
  <si>
    <t>Types of Ventilation</t>
  </si>
  <si>
    <t>Included in the project?</t>
  </si>
  <si>
    <t>• Naturally ventilated spaces</t>
  </si>
  <si>
    <t>• Mechanically ventilated spaces</t>
  </si>
  <si>
    <t>• Mixed-mode ventilated spaces</t>
  </si>
  <si>
    <r>
      <t>Size of the opening between rooms (m</t>
    </r>
    <r>
      <rPr>
        <vertAlign val="superscript"/>
        <sz val="10"/>
        <color indexed="9"/>
        <rFont val="Arial"/>
        <family val="2"/>
      </rPr>
      <t>2</t>
    </r>
    <r>
      <rPr>
        <sz val="10"/>
        <color indexed="9"/>
        <rFont val="Arial"/>
        <family val="2"/>
      </rPr>
      <t>)</t>
    </r>
  </si>
  <si>
    <r>
      <t>Total area of openings to the outdoors (m</t>
    </r>
    <r>
      <rPr>
        <vertAlign val="superscript"/>
        <sz val="10"/>
        <color indexed="9"/>
        <rFont val="Arial"/>
        <family val="2"/>
      </rPr>
      <t>2</t>
    </r>
    <r>
      <rPr>
        <sz val="10"/>
        <color indexed="9"/>
        <rFont val="Arial"/>
        <family val="2"/>
      </rPr>
      <t>)</t>
    </r>
  </si>
  <si>
    <t>Maximum distance from an opening (m)</t>
  </si>
  <si>
    <t/>
  </si>
  <si>
    <t>For mechanically ventilated spaces and mixed-mode ventilated spaces: submit all the documentation listed below at Certification stage:</t>
  </si>
  <si>
    <t>For naturally ventilated spaces and mixed-mode ventilated spaces: submit all the documentation listed below at Certification stage:</t>
  </si>
  <si>
    <t>Both the above requirements for mechanically ventilated spaces and for naturally ventilated spaces must be met.</t>
  </si>
  <si>
    <t>m3/h/person</t>
  </si>
  <si>
    <t>m2/person</t>
  </si>
  <si>
    <t>m3/h/m2</t>
  </si>
  <si>
    <t>1. Hotels, motels</t>
  </si>
  <si>
    <t>2. Laundry shops</t>
  </si>
  <si>
    <t>3. Restaurants, coffee shops</t>
  </si>
  <si>
    <t>4. Theaters</t>
  </si>
  <si>
    <t>5. Educational buildings</t>
  </si>
  <si>
    <t>6. Hospitals, clinics, retirement homes</t>
  </si>
  <si>
    <t>7. Sports and Entertainment</t>
  </si>
  <si>
    <t>8. Public spaces</t>
  </si>
  <si>
    <t>9. Special retail spaces</t>
  </si>
  <si>
    <t>10. Bus station, train station</t>
  </si>
  <si>
    <t>11. Administrative buildings</t>
  </si>
  <si>
    <t>12. Residential buildings</t>
  </si>
  <si>
    <t>1.1 Bedroom</t>
  </si>
  <si>
    <t>1.2 Guestroom</t>
  </si>
  <si>
    <t>1.3 Corridor</t>
  </si>
  <si>
    <t>1.4 Meeting room</t>
  </si>
  <si>
    <t>1.5 Conference room</t>
  </si>
  <si>
    <t>1.6 Office room</t>
  </si>
  <si>
    <t>1.7 Lobby</t>
  </si>
  <si>
    <t>1.8 Dormitory</t>
  </si>
  <si>
    <t>1.9 Bathroom</t>
  </si>
  <si>
    <t>2.1 Laundry shop</t>
  </si>
  <si>
    <t>3.1 Restaurant dining rooms</t>
  </si>
  <si>
    <t>3.2 Cafeteria/fast-food dining</t>
  </si>
  <si>
    <t>3.3 Bars, cocktail lounges</t>
  </si>
  <si>
    <t>3.4 Kitchen (cooking)</t>
  </si>
  <si>
    <t>4.1 Auditorium seating area</t>
  </si>
  <si>
    <t>4.2 Corridor</t>
  </si>
  <si>
    <t>4.3 Studio</t>
  </si>
  <si>
    <t>4.4 Ticket counter</t>
  </si>
  <si>
    <t>5.1 Classroom</t>
  </si>
  <si>
    <t>5.2 Laboratories</t>
  </si>
  <si>
    <t>5.3 Meeting room</t>
  </si>
  <si>
    <t>5.4 Library</t>
  </si>
  <si>
    <t xml:space="preserve">5.5 Lecture </t>
  </si>
  <si>
    <t>5.6 Music/theater/dance</t>
  </si>
  <si>
    <t>5.7 Corridor</t>
  </si>
  <si>
    <t>5.8 Storage room</t>
  </si>
  <si>
    <t>6.1 Patient room</t>
  </si>
  <si>
    <t>6.2 Examination room</t>
  </si>
  <si>
    <t>6.3 Operating room</t>
  </si>
  <si>
    <t xml:space="preserve">6.4 Mortuary </t>
  </si>
  <si>
    <t>6.5 Physical Therapy room</t>
  </si>
  <si>
    <t>6.6 Canteen</t>
  </si>
  <si>
    <t>6.7 Security</t>
  </si>
  <si>
    <t>7.1 Spectator area</t>
  </si>
  <si>
    <t>7.2 Sport arena</t>
  </si>
  <si>
    <t>7.3 Ice rink</t>
  </si>
  <si>
    <t>7.4 Swimming pool with spectators</t>
  </si>
  <si>
    <t>7.5 Disco/dance floors</t>
  </si>
  <si>
    <t>7.6 Bowling alley</t>
  </si>
  <si>
    <t>8.1 Corridor and storage domestic electrrical goods</t>
  </si>
  <si>
    <t>8.2 Mall concourse</t>
  </si>
  <si>
    <t>8.3 Shop</t>
  </si>
  <si>
    <t>8.4 Break room</t>
  </si>
  <si>
    <t>8.5 Smoking room</t>
  </si>
  <si>
    <t>9.1 Barbershop</t>
  </si>
  <si>
    <t>9.2 Beauty and nail salons</t>
  </si>
  <si>
    <t>9.3 Clothes and wood furniture shop</t>
  </si>
  <si>
    <t>9.4 Flower shop</t>
  </si>
  <si>
    <t>9.5 Supermarket</t>
  </si>
  <si>
    <t>10.2 Train platform</t>
  </si>
  <si>
    <t>10.1 Waiting room</t>
  </si>
  <si>
    <t>11.1 Office room</t>
  </si>
  <si>
    <t>11.2 Meeting room</t>
  </si>
  <si>
    <t>11.3 Waiting room</t>
  </si>
  <si>
    <t>12.1 Bedroom</t>
  </si>
  <si>
    <t>12.2 Living room</t>
  </si>
  <si>
    <r>
      <t>Fresh air supply rate (m</t>
    </r>
    <r>
      <rPr>
        <vertAlign val="superscript"/>
        <sz val="10"/>
        <color indexed="9"/>
        <rFont val="Arial"/>
        <family val="2"/>
      </rPr>
      <t>3</t>
    </r>
    <r>
      <rPr>
        <sz val="10"/>
        <color indexed="9"/>
        <rFont val="Arial"/>
        <family val="2"/>
      </rPr>
      <t>/h)</t>
    </r>
  </si>
  <si>
    <r>
      <t>Minimum fresh air supply rate required
(m</t>
    </r>
    <r>
      <rPr>
        <vertAlign val="superscript"/>
        <sz val="10"/>
        <color indexed="9"/>
        <rFont val="Arial"/>
        <family val="2"/>
      </rPr>
      <t>3</t>
    </r>
    <r>
      <rPr>
        <sz val="10"/>
        <color indexed="9"/>
        <rFont val="Arial"/>
        <family val="2"/>
      </rPr>
      <t>/h)</t>
    </r>
  </si>
  <si>
    <t>• Is it located in a common area and accessible to all occupants?</t>
  </si>
  <si>
    <t>Install a proper drinking water filtration system to get clean drinking water and make it accessible to all occupants.</t>
  </si>
  <si>
    <t>Compliant drinking water filtration system ?</t>
  </si>
  <si>
    <t>E-3 Building cooling</t>
  </si>
  <si>
    <t>E-3 Building Cooling</t>
  </si>
  <si>
    <t>Building Cooling</t>
  </si>
  <si>
    <t>Prescriptive Path for Strategy B</t>
  </si>
  <si>
    <t>Minimize the energy use for cooling by not installing air-conditioning systems.</t>
  </si>
  <si>
    <r>
      <t>Net occupied area (m</t>
    </r>
    <r>
      <rPr>
        <vertAlign val="superscript"/>
        <sz val="10"/>
        <rFont val="Arial"/>
        <family val="2"/>
      </rPr>
      <t>2</t>
    </r>
    <r>
      <rPr>
        <sz val="10"/>
        <rFont val="Arial"/>
        <family val="2"/>
      </rPr>
      <t>)</t>
    </r>
  </si>
  <si>
    <r>
      <t>Gross Floor Area (m</t>
    </r>
    <r>
      <rPr>
        <vertAlign val="superscript"/>
        <sz val="10"/>
        <rFont val="Arial"/>
        <family val="2"/>
      </rPr>
      <t>2</t>
    </r>
    <r>
      <rPr>
        <sz val="10"/>
        <rFont val="Arial"/>
        <family val="2"/>
      </rPr>
      <t>)</t>
    </r>
  </si>
  <si>
    <r>
      <rPr>
        <b/>
        <sz val="10"/>
        <color rgb="FF76923C"/>
        <rFont val="Arial"/>
        <family val="2"/>
      </rPr>
      <t>Gross Floor Area (GFA)</t>
    </r>
    <r>
      <rPr>
        <sz val="10"/>
        <rFont val="Arial"/>
        <family val="2"/>
      </rPr>
      <t xml:space="preserve"> - The sum of the fully enclosed covered floor area and the unenclosed covered floor area of a building at all floor levels. Some commercial and public authorities use variants of this definition. Parking areas are not to be included as GFA.</t>
    </r>
  </si>
  <si>
    <t xml:space="preserve">E-6 Energy Monitor </t>
  </si>
  <si>
    <t>E-6 Energy Monitor</t>
  </si>
  <si>
    <t>Energy Monitor</t>
  </si>
  <si>
    <t>Provide sufficient fresh air supply to occupied areas.</t>
  </si>
  <si>
    <t>3 types of ventilation are considered to provide fresh air to the occupied spaces:</t>
  </si>
  <si>
    <r>
      <t>To receive sufficient fresh air supply through natural ventilation, an occupied room must:
• be within 8 meters of (and permanently open to) an operable wall or roof opening
• have a total area of wall or roof openings of at least 4% of the floor area of the room.
An occupied room without direct openings to the outdoors can be naturally ventilated through adjoining rooms if the unobstructed openings between the rooms are at least 8% of the floor area (with a minimum of 2.3 m</t>
    </r>
    <r>
      <rPr>
        <vertAlign val="superscript"/>
        <sz val="10"/>
        <rFont val="Arial"/>
        <family val="2"/>
      </rPr>
      <t>2</t>
    </r>
    <r>
      <rPr>
        <sz val="10"/>
        <rFont val="Arial"/>
        <family val="2"/>
      </rPr>
      <t>).</t>
    </r>
  </si>
  <si>
    <r>
      <rPr>
        <b/>
        <sz val="10"/>
        <rFont val="Arial"/>
        <family val="2"/>
      </rPr>
      <t>Prescriptive Path</t>
    </r>
    <r>
      <rPr>
        <sz val="10"/>
        <rFont val="Arial"/>
        <family val="2"/>
      </rPr>
      <t xml:space="preserve">
For 1 point, average luminous efficacy is higher than 60 lm/W 
For 2 points, average luminous efficacy is higher than 70 lm/W 
For 3 points, average luminous efficacy is higher than 80 lm/W</t>
    </r>
  </si>
  <si>
    <r>
      <rPr>
        <b/>
        <sz val="10"/>
        <rFont val="Arial"/>
        <family val="2"/>
      </rPr>
      <t>Performance Path</t>
    </r>
    <r>
      <rPr>
        <sz val="10"/>
        <rFont val="Arial"/>
        <family val="2"/>
      </rPr>
      <t xml:space="preserve">
For 1 point, LPD is lower than VBEEC requirements
For 2 points, LPD is 15% lower than VBEEC requirements
For 3 points, LPD is 30% lower than VBEEC requirements</t>
    </r>
  </si>
  <si>
    <t>Strategy A: Lighting efficiency</t>
  </si>
  <si>
    <r>
      <rPr>
        <b/>
        <sz val="10"/>
        <rFont val="Arial"/>
        <family val="2"/>
      </rPr>
      <t>E-BPC-3 Energy Controls</t>
    </r>
    <r>
      <rPr>
        <sz val="10"/>
        <rFont val="Arial"/>
        <family val="2"/>
      </rPr>
      <t xml:space="preserve">
Install at least 2 different types of energy control solutions in the building</t>
    </r>
  </si>
  <si>
    <r>
      <rPr>
        <b/>
        <sz val="10"/>
        <rFont val="Arial"/>
        <family val="2"/>
      </rPr>
      <t xml:space="preserve">H-BPC-3 Quality Views
</t>
    </r>
    <r>
      <rPr>
        <sz val="10"/>
        <rFont val="Arial"/>
        <family val="2"/>
      </rPr>
      <t>For 1 point, 60% of the net occupied area has quality views</t>
    </r>
  </si>
  <si>
    <t>H-BPC-3 Quality Views</t>
  </si>
  <si>
    <t>Provide quality views to the occupied areas.</t>
  </si>
  <si>
    <t>To qualify as an area with quality views, the area must at least meet two of the following requirements:</t>
  </si>
  <si>
    <t>• have a direct line of sight to an external view that is unobstructed for at least 8 meters from the exterior of the glazing,</t>
  </si>
  <si>
    <t>• have a direct line of sight to an external view that includes vegetation, fauna or sky,</t>
  </si>
  <si>
    <t>• have a direct line of sight to an external view that includes movement,</t>
  </si>
  <si>
    <t>• have multiple lines of sight to the outdoors via vision glazing in different directions at least 90 degrees apart.</t>
  </si>
  <si>
    <t>Complete the table below with information on all the occupied rooms of the project space</t>
  </si>
  <si>
    <t>For each occupied room, it is possible to have different areas with different types of quality views (table below can include up to 3 different areas). For example, in one room, a part of the room may have a direct line of sight with a view including both vegetation and movement while another part of the room may have multiple lines of sight to the outdoors including a line of sight to an unobstructed external view.</t>
  </si>
  <si>
    <t>When more than 75% of a room’s floor area has quality views, the entire room floor area is counted towards having quality views and is compliant.</t>
  </si>
  <si>
    <r>
      <t>Areas with quality views (m</t>
    </r>
    <r>
      <rPr>
        <vertAlign val="superscript"/>
        <sz val="10"/>
        <color theme="0"/>
        <rFont val="Arial"/>
        <family val="2"/>
      </rPr>
      <t>2</t>
    </r>
    <r>
      <rPr>
        <sz val="10"/>
        <color theme="0"/>
        <rFont val="Arial"/>
        <family val="2"/>
      </rPr>
      <t>)</t>
    </r>
  </si>
  <si>
    <t>Type of quality view 1</t>
  </si>
  <si>
    <t>Type of quality view 2</t>
  </si>
  <si>
    <r>
      <t>Area with quality views (m</t>
    </r>
    <r>
      <rPr>
        <vertAlign val="superscript"/>
        <sz val="10"/>
        <color theme="0"/>
        <rFont val="Arial"/>
        <family val="2"/>
      </rPr>
      <t>2</t>
    </r>
    <r>
      <rPr>
        <sz val="10"/>
        <color theme="0"/>
        <rFont val="Arial"/>
        <family val="2"/>
      </rPr>
      <t>)</t>
    </r>
  </si>
  <si>
    <t>Percentage of compliant area  [%]</t>
  </si>
  <si>
    <t xml:space="preserve">• Floor plans and elevations outlining occupied areas and areas with quality views </t>
  </si>
  <si>
    <t>• Photographs showing the quality views</t>
  </si>
  <si>
    <t>Complete the information below on all the pot plants installed inside the building, on balconies and on the rooftop:</t>
  </si>
  <si>
    <t>Strategy B:  Lighting controls</t>
  </si>
  <si>
    <r>
      <t>• Each control device must cover a maximum floor area of 100 m</t>
    </r>
    <r>
      <rPr>
        <vertAlign val="superscript"/>
        <sz val="10"/>
        <rFont val="Arial"/>
        <family val="2"/>
      </rPr>
      <t>2</t>
    </r>
  </si>
  <si>
    <t>• An occupancy sensor automatically turns lights ON when occupants enter a room and OFF when occupants leave.</t>
  </si>
  <si>
    <t xml:space="preserve">
• A vacancy sensor also turns lights OFF when occupants leave a room but lights need to be manually turned ON when occupants walk into a room. 
</t>
  </si>
  <si>
    <t xml:space="preserve">Vacancy sensing maximizes the energy savings because it’s not always necessary to turn lights ON when temporarily entering a space, or when there’s sufficient daylight or  hallway light. </t>
  </si>
  <si>
    <t>Complete the table below with information on the lighting controls installed in all the separate spaces of the project:</t>
  </si>
  <si>
    <t>Separate spaces</t>
  </si>
  <si>
    <t>Number of control device installed</t>
  </si>
  <si>
    <t>Type of control device installed</t>
  </si>
  <si>
    <t>Compliant lighting controls?</t>
  </si>
  <si>
    <t>Strategy B: Lighting controls for spaces</t>
  </si>
  <si>
    <t>Strategy C: Controls for daylit areas</t>
  </si>
  <si>
    <t xml:space="preserve">Install lighting control devices for the lighting fixtures located in potentially day-lit areas </t>
  </si>
  <si>
    <t>Potentially daylit areas are the sidelit daylit areas and skylit daylit areas as defined below:</t>
  </si>
  <si>
    <t>• Sidelit daylit area is the area on a plan directly adjacent to each vertical glazing, two window head height deep into the area, and window width plus 0.5 times window head height wide on each side of the rough opening of the window, minus any area on a plan beyond a permanent obstruction that is 1.5 meters or taller as measured from the floor.</t>
  </si>
  <si>
    <t>• Skylit daylit area is the rough area in plan view under each skylight, plus 0.7 times the average ceiling height in each direction from the edge of the rough opening of the skylight, minus any area on a plan beyond a permanent obstruction that is taller than one - half the distance from the floor to the bottom of the skylight. 
The bottom of the skylight is measured from the bottom of the skylight well for skylights having wells, or the bottom of the skylight if no skylight well exists. 
For the purpose of determining the skylit daylit zone, the geometric shape of the skylit daylit zone shall be identical to the plan view geometric shape of the rough opening of the skylight; for example, for a rectangular skylight the skylit daylit zone plan area shall be rectangular, and for a circular skylight the skylit daylit zone plan area shall be circular.</t>
  </si>
  <si>
    <t>Skylit daylit area</t>
  </si>
  <si>
    <t xml:space="preserve">Sidelit daylit area </t>
  </si>
  <si>
    <t>For each potentially daylit area, comply with at least one of the three following requirements:</t>
  </si>
  <si>
    <r>
      <t xml:space="preserve">• </t>
    </r>
    <r>
      <rPr>
        <sz val="10"/>
        <rFont val="Arial"/>
        <family val="2"/>
      </rPr>
      <t>install photosensors to automatically dim lights depending on the level of natural illuminance received.</t>
    </r>
  </si>
  <si>
    <r>
      <t xml:space="preserve">• </t>
    </r>
    <r>
      <rPr>
        <sz val="10"/>
        <rFont val="Arial"/>
        <family val="2"/>
      </rPr>
      <t>install photosensors to automatically switch lights off when natural light measured by the sensors is beyond the standard preset level for the occupant space (e.g. 300 lux for offices)</t>
    </r>
  </si>
  <si>
    <r>
      <t xml:space="preserve">• </t>
    </r>
    <r>
      <rPr>
        <sz val="10"/>
        <rFont val="Arial"/>
        <family val="2"/>
      </rPr>
      <t xml:space="preserve">install a manual switch to control the lights independently of the general area lighting </t>
    </r>
  </si>
  <si>
    <t>Photosensors shall be positioned at half the depth of potentially daylit areas.
If some occupancy sensors are installed, they shall be prioritized over photosensors for lighting control.</t>
  </si>
  <si>
    <t>For each potentially daylit area, complete the table below with the information on the lighting equipment located in the potentially daylit areas.</t>
  </si>
  <si>
    <t>Lighting fixtures 
installed</t>
  </si>
  <si>
    <t>Lighting control</t>
  </si>
  <si>
    <t>Position of the photosensor (if any)</t>
  </si>
  <si>
    <t>Occupancy sensors installed?</t>
  </si>
  <si>
    <t>Occupancy sensors prioritised?</t>
  </si>
  <si>
    <t>Compliant controls for daylit areas?</t>
  </si>
  <si>
    <t>Click on the links on 
the right to navigate to
other Energy credits</t>
  </si>
  <si>
    <t xml:space="preserve">• Manufacturer’s published data of the sensors and/or controls installed for potentially daylit areas </t>
  </si>
  <si>
    <t>• Evidence showing the installation of all sensors and/or controls for daylit areas such as photographs, as-built drawings, invoices, etc.</t>
  </si>
  <si>
    <t xml:space="preserve">• Manufacturer’s published data of the sensors and/or controls installed </t>
  </si>
  <si>
    <t>• Evidence showing the installation of all sensors and/or controls such as photographs, as-built drawings, invoices, etc.</t>
  </si>
  <si>
    <t>E-BPC-3 Energy Controls</t>
  </si>
  <si>
    <t xml:space="preserve">Supporting Authors </t>
  </si>
  <si>
    <t>Bambubuild</t>
  </si>
  <si>
    <t>PALM Landscape</t>
  </si>
  <si>
    <t>Hugo Fontourcy, Melissa Merryweather, Samantha Miller, Vũ Hồng Phong</t>
  </si>
  <si>
    <t xml:space="preserve">Xavier Leulliette </t>
  </si>
  <si>
    <t>Additional information</t>
  </si>
  <si>
    <t>Note: This sheet is for projects to provide additional information and comments on the credits pursued.
If a credit is not achieved after completing the User Tool but the project wants to claim the credit using an alternative compliance path, it should be described here.</t>
  </si>
  <si>
    <t>Points targeted</t>
  </si>
  <si>
    <t>CO2 Monitoring</t>
  </si>
  <si>
    <t>Low-VOC Emissions</t>
  </si>
  <si>
    <t>Site Design</t>
  </si>
  <si>
    <t>Low formaldehyde ?</t>
  </si>
  <si>
    <t>Formaldehyde content of the product</t>
  </si>
  <si>
    <t>Adhesive used for assembly</t>
  </si>
  <si>
    <t>All composite wood products compliant?</t>
  </si>
  <si>
    <t>For 1 point, 60% of the net occupied area achieves a direct line of sight to the outdoors via vision glazing
For 2 points, 80% of the net occupied area achieves a direct line of sight to the outdoors via vision glazing</t>
  </si>
  <si>
    <t>• Naturally ventilated or mixed-mode ventilated spaces:</t>
  </si>
  <si>
    <t>• Mechanically ventilated or mixed-mode ventilated spaces:</t>
  </si>
  <si>
    <t>Select the compliance standard followed:</t>
  </si>
  <si>
    <t>If the project follows requirements of a standard different from TCVN 5687:2010, calculations demonstrating compliance need to be submitted in a separate document.</t>
  </si>
  <si>
    <t>If the project follows requirements of TCVN 5687:2010, calculations should be completed in the table below. When different occupied spaces are supplied fresh air from one common system, the fresh air supply rate must be distributed appropriately to the different occupied spaces. The number of occupants should be the actual occupancy expected in the space.</t>
  </si>
  <si>
    <r>
      <t>Total occupied area (m</t>
    </r>
    <r>
      <rPr>
        <vertAlign val="superscript"/>
        <sz val="10"/>
        <color indexed="9"/>
        <rFont val="Arial"/>
        <family val="2"/>
      </rPr>
      <t>2</t>
    </r>
    <r>
      <rPr>
        <sz val="10"/>
        <color indexed="9"/>
        <rFont val="Arial"/>
        <family val="2"/>
      </rPr>
      <t>)</t>
    </r>
  </si>
  <si>
    <t>If other, which standard?</t>
  </si>
  <si>
    <t>• As-built schematic mechanical drawings showing fresh air supply rates of AHUs and fans</t>
  </si>
  <si>
    <t>• Evidence of the HVAC equipment installed, such as photographs, invoices, receipts, commissioning report, etc</t>
  </si>
  <si>
    <t xml:space="preserve">In this case, fresh air supply must meet or surpass the requirements of a recognised standard including but not limited to the following: TCVN 5687:2010 "Ventilation - air conditioning - Design standards", ASHRAE Standard 62.1 - Ventilation for Acceptable Indoor Air Quality </t>
  </si>
  <si>
    <t>If the project follows requirements of a standard different from TCVN 5687:201:
• Calculations demonstrating that the requirements of the recognised standard selected are met</t>
  </si>
  <si>
    <t>Complete the Table below with information on all the occupied space with natural ventilation or mixed-mode ventilation (if any):</t>
  </si>
  <si>
    <t>Complete the Table below with information on all the occupied spaces with mechanical ventilation or mixed-mode ventilation (if any):</t>
  </si>
  <si>
    <t>% of net occupied area compliant</t>
  </si>
  <si>
    <t xml:space="preserve">• Evidence showing that all requirements of QCVN 10:2014/BXD are met such plans, photographs, etc. </t>
  </si>
  <si>
    <t>The first certification level (LOTUS Certified) has been benchmarked at 40% of the total amount of points excluding bonus points. This value reflects a good first level of performance and the minimum required for certification. The following thresholds correspond to 55% (LOTUS  Silver), 65% (LOTUS  Gold) and 75% (LOTUS  Platinum).</t>
  </si>
  <si>
    <t>LOTUS Project Application Form</t>
  </si>
  <si>
    <t>Desired LOTUS Rating</t>
  </si>
  <si>
    <t>*The Applicant Representative is responsible for all elements of the certification and submission process within LOTUS Rating Systems. The Applicant Representative will directly liaise with the VGBC Representative throughout all stages of LOTUS Certification.</t>
  </si>
  <si>
    <t>4. LOTUS Requirements</t>
  </si>
  <si>
    <t>LOTUS ratings can only be marketed after the project has been formally assessed by the VGBC and a certification has been awarded. Marketing resources will be provided by the VGBC to assist with marketing.</t>
  </si>
  <si>
    <t>LOTUS Registration No.</t>
  </si>
  <si>
    <t>LOTUS will consider as energy efficient appliances, all the appliances that are certified (or can demonstrate equivalent performance) under the following labels:</t>
  </si>
  <si>
    <t>• Generate a newspaper article on the LOTUS project</t>
  </si>
  <si>
    <t>Rewards exceptional performance, well above the LOTUS requirements and recognises innovative features or initiatives which are not specifically adressed by LOTUS.</t>
  </si>
  <si>
    <t>Exceed significantly the credit requirements of LOTUS credits</t>
  </si>
  <si>
    <t>LOTUS credit</t>
  </si>
  <si>
    <t>Implement innovative techniques/initiatives that are outside the scope of LOTUS</t>
  </si>
  <si>
    <t>For this reason it is advisable to confirm the proposed innovation credit nature, thresholds and submittal requirements with the LOTUS team at any time prior to submittal.</t>
  </si>
  <si>
    <t>Specific LOTUS terms</t>
  </si>
  <si>
    <t>LOTUS Submission terms</t>
  </si>
  <si>
    <t>Introduction on LOTUS Small Buildings</t>
  </si>
  <si>
    <t>1. LOTUS Small Buildings Scope and Eligibility</t>
  </si>
  <si>
    <t>LOTUS Small Buildings is used for public buildings as described under QCVN 03:2012/BXD. 
The following types of buildings are covered by this description:</t>
  </si>
  <si>
    <t xml:space="preserve">For a project to be eligible for LOTUS Small Buildings assessment, it must be a whole distinct building. A portion of a building that has clear separation from other building components may be eligible for assessment under guidance from the VGBC. </t>
  </si>
  <si>
    <t xml:space="preserve">Major refurbishment projects are eligible for assessment under LOTUS Small Buildings when any of the following eligibility requirements are complied with:
    • An alteration affects more than 50% of the Gross Floor Area (GFA) of the building at any one time 
    • An alteration disrupts the operations or relocates more than 50% of the building occupants 
    • An addition increases the GFA of the building by more than 30% </t>
  </si>
  <si>
    <t>2. LOTUS Small Buildings Categories</t>
  </si>
  <si>
    <t>LOTUS Small Buildings is composed of 6 categories (plus “Innovation”), each containing a varying number of credits.</t>
  </si>
  <si>
    <t>3. LOTUS Small Buildings Credits</t>
  </si>
  <si>
    <t>LOTUS is a points-based system. Projects obtain points for complying with LOTUS credit criteria. 
Projects are not required to comply with every credit. Only target appropriate credits that projects can reasonably achieve. However, each project must target a minimum number of credits in order to achieve sufficient points to match the desired certification level (cf section 'LOTUS Small Buildings Certification' below)
For a project to comply with a credit, it must meet the intent of the credit, achieve the specific requirements of the credit and provide  the required submission documents.</t>
  </si>
  <si>
    <t xml:space="preserve">Some credits in LOTUS Small Buildings can be achieved with either a Prescriptive path or a Performance path. The Prescriptive path requires specific solutions and is a "black-and-white" approach. The Performance path, provides flexibility so that a design team may design a solution taking into account project requirements. A project may choose a Performance path for one credit and a Prescriptive path for another.  </t>
  </si>
  <si>
    <t>LOTUS Small Buildings include some best practice credits rewarding bonus points for achieving best practice in design and construction. Best practice credits often require extra calculations or sophisticated documentation. These credits may be aspirational and not easily achievable for most projects, so, projects that do not achieve these credits will not lose points and the overall certification level will not be affected.</t>
  </si>
  <si>
    <t>4. LOTUS Small Buildings Certification Levels</t>
  </si>
  <si>
    <t>100 points are available in LOTUS Small Buildings (including 20 bonus points coming from the best practice credits and Innovation).</t>
  </si>
  <si>
    <t>5. LOTUS Small Buildings Certification Process</t>
  </si>
  <si>
    <t>LOTUS Small Buildings Certification happens in the following steps:</t>
  </si>
  <si>
    <t xml:space="preserve">This is the actual submittal stage for certification under LOTUS Small Buildings. It should happen at the end of the construction stage. </t>
  </si>
  <si>
    <t>6. LOTUS Small Buildings Submissions</t>
  </si>
  <si>
    <t>The main material to LOTUS Small Buildings Submissions is the LOTUS Small Buildings User Tool. This tool is a template for the applicant to:</t>
  </si>
  <si>
    <t>• have a complete overview of LOTUS Small Buildings</t>
  </si>
  <si>
    <t>• have a complete overview of the LOTUS Small Buildings rating system</t>
  </si>
  <si>
    <t>• submit all the evidence required by LOTUS Small Buildings</t>
  </si>
  <si>
    <t>Recommendations for LOTUS Small Buildings Certification</t>
  </si>
  <si>
    <t xml:space="preserve">Note: This sheet provides further advice for projects undergoing LOTUS Small Buildings Certification. </t>
  </si>
  <si>
    <t>LOTUS Small Buildings Certification</t>
  </si>
  <si>
    <t>Buildings can only be assessed by the VGBC if they meet all LOTUS Small Buildings eligibility criteria.</t>
  </si>
  <si>
    <r>
      <rPr>
        <sz val="11"/>
        <rFont val="Symbol"/>
        <family val="1"/>
        <charset val="2"/>
      </rPr>
      <t>®</t>
    </r>
    <r>
      <rPr>
        <sz val="11"/>
        <rFont val="Calibri"/>
        <family val="2"/>
        <scheme val="minor"/>
      </rPr>
      <t xml:space="preserve"> Users should refer to the LOTUS Small Buildings Technical Manual to find more details, information, definitions, etc. </t>
    </r>
  </si>
  <si>
    <r>
      <rPr>
        <sz val="11"/>
        <rFont val="Calibri"/>
        <family val="2"/>
        <scheme val="minor"/>
      </rPr>
      <t>For any enquiries about LOTUS Small Buildings, please contact VGBC at:</t>
    </r>
    <r>
      <rPr>
        <sz val="11"/>
        <color theme="10"/>
        <rFont val="Calibri"/>
        <family val="2"/>
        <scheme val="minor"/>
      </rPr>
      <t xml:space="preserve"> </t>
    </r>
    <r>
      <rPr>
        <u/>
        <sz val="11"/>
        <color theme="10"/>
        <rFont val="Calibri"/>
        <family val="2"/>
        <scheme val="minor"/>
      </rPr>
      <t>certification@vgbc.org.vn</t>
    </r>
  </si>
  <si>
    <t>E-3 Strategy B, E-4, E-5, E-6, E7, W-1, W-2, W-3, H-1, H-2, H-3, LE-7</t>
  </si>
  <si>
    <t>E-1, E-2, E-3 Strategy A, M-1, M-2, M-3, M-4, M-5, M-6, H-3, H-4, H-5,    H-6, LE-4, CM-4</t>
  </si>
  <si>
    <t>LOTUS Small Buildings includes 33 credits and 13 best practice (bonus) credits.</t>
  </si>
  <si>
    <t>Consistent information throughout the credits (for example, same information input on window openings for credits E-3 Building Cooling - Strategy A Natural Ventilation; Credit H-1 Fresh Air Supply; and Credit H-5 Daylighting)</t>
  </si>
  <si>
    <t>Strategy C: Lighting controls for daylit areas</t>
  </si>
  <si>
    <t>Meet the following requirements (adapted from QCVN 09:2013/BXD Section 2.3.3 Lighting controls 1) Lighting controls for different building spaces):</t>
  </si>
  <si>
    <t>• All separate spaces (any space enclosed with ceiling-height partitions) must have at least one lighting control device (actuated manually or by automatic sensor).</t>
  </si>
  <si>
    <t>• A device to shutoff lighting in all spaces must be installed. It can be a master main switch located adjacent to the main staff entry for the premises enabling the last person to turn off all the lighting systems when leaving or it can be an automatic control device (scheduling control, occupant sensor, etc.)</t>
  </si>
  <si>
    <t>- Passageways in office buildings, hotels, schools and residential buildings,</t>
  </si>
  <si>
    <t xml:space="preserve">• The following spaces must have occupancy or vacancy sensors to control the lighting system: </t>
  </si>
  <si>
    <t xml:space="preserve">- In-house parking lots in schools and residential buildings </t>
  </si>
  <si>
    <t xml:space="preserve">The device to shutoff lighting in all spaces, the occupancy sensors and the vacancy sensors shall not be connected to the exit lighting and security lighting systems. </t>
  </si>
  <si>
    <t>• Have a device to shutoff lighting in all spaces been installed ?</t>
  </si>
  <si>
    <t>• Have a permanent energy monitor been installed ?</t>
  </si>
  <si>
    <t>• Which kind of device has been installed ?</t>
  </si>
  <si>
    <t>- Conference rooms in all building types</t>
  </si>
  <si>
    <t>Reply to the questions below on the control device to shutoff lighting in all spaces:</t>
  </si>
  <si>
    <r>
      <rPr>
        <sz val="10"/>
        <color rgb="FF943634"/>
        <rFont val="Arial"/>
        <family val="2"/>
      </rPr>
      <t>Table H.2</t>
    </r>
    <r>
      <rPr>
        <sz val="10"/>
        <rFont val="Arial"/>
        <family val="2"/>
      </rPr>
      <t>: Minimum required Illuminance levels (Adapted from Table 12 of the Guidelines for Building Energy Code QCVN 09:2013/BXD)</t>
    </r>
  </si>
  <si>
    <t>Ensure sufficient light levels in the habitable spaces by meeting recommendations on illuminance in Table H.2 below.</t>
  </si>
  <si>
    <r>
      <t>Only projects with a GFA lower than 2500 m</t>
    </r>
    <r>
      <rPr>
        <vertAlign val="superscript"/>
        <sz val="11"/>
        <color theme="1"/>
        <rFont val="Calibri"/>
        <family val="2"/>
        <scheme val="minor"/>
      </rPr>
      <t>2</t>
    </r>
    <r>
      <rPr>
        <sz val="11"/>
        <color theme="1"/>
        <rFont val="Calibri"/>
        <family val="2"/>
        <scheme val="minor"/>
      </rPr>
      <t xml:space="preserve"> are eligible for LOTUS Small Buildings.</t>
    </r>
  </si>
  <si>
    <t>• Evidence showing the recycling storage area such as photographs, etc.</t>
  </si>
  <si>
    <r>
      <t>The dedicated recycling storage area must have a minimum area of 5 m</t>
    </r>
    <r>
      <rPr>
        <vertAlign val="superscript"/>
        <sz val="10"/>
        <rFont val="Arial"/>
        <family val="2"/>
      </rPr>
      <t>2</t>
    </r>
    <r>
      <rPr>
        <sz val="10"/>
        <rFont val="Arial"/>
        <family val="2"/>
      </rPr>
      <t xml:space="preserve"> and be located in the basement or at the ground level for convenient access by occupants and collection vehicles. The recycling area and the bins for each material should be clearly marked.</t>
    </r>
  </si>
  <si>
    <t>• Evidence showing the fans installed in the occupied spaces such as photographs, plans, etc.</t>
  </si>
  <si>
    <t>• Evidence showing the occupied spaces that are not served by any air-conditioning system such as photographs, plans, etc.</t>
  </si>
  <si>
    <t>• Evidence showing that the lighting fixtures were installed such as photographs, electrical drawings, invoices, etc.</t>
  </si>
  <si>
    <t>• Noise levels measurements showing compliance with TCXDVN 175:2005</t>
  </si>
  <si>
    <t>• Evidence showing the quality views such as photographs, etc.</t>
  </si>
  <si>
    <t>• Publish a website with at least two pages that provides detailed information about the features and benefits of owning/leasing a certified LOTUS building</t>
  </si>
  <si>
    <t>• Hold an advertised, attended public open house that lasts at least four hours per day on at least two weekends, or participate in a green building exhibition or tour. 
Offer a guided tour that highlights green building features.</t>
  </si>
  <si>
    <t xml:space="preserve">• Display LOTUS signage, on the exterior of the building. </t>
  </si>
  <si>
    <t>• There is a continuous air flow path between 2 window openings either within the room or from the room to another. One opening can be used for up to two air flow paths.</t>
  </si>
  <si>
    <t>• Window openings are located either in opposite or adjacent external walls. If the openings are on adjacent walls, they must be at least 3 meters apart at their closest point.</t>
  </si>
  <si>
    <t>• Distance between the supply and exhaust openings is not more than 15 meters</t>
  </si>
  <si>
    <r>
      <t>• There is no more than one doorway or opening smaller than 2 m</t>
    </r>
    <r>
      <rPr>
        <vertAlign val="superscript"/>
        <sz val="10"/>
        <rFont val="Arial"/>
        <family val="2"/>
      </rPr>
      <t>2</t>
    </r>
    <r>
      <rPr>
        <sz val="10"/>
        <rFont val="Arial"/>
        <family val="2"/>
      </rPr>
      <t xml:space="preserve"> between the ventilation openings</t>
    </r>
  </si>
  <si>
    <r>
      <t>• Window openings have an openable area of at least 1 m</t>
    </r>
    <r>
      <rPr>
        <vertAlign val="superscript"/>
        <sz val="10"/>
        <rFont val="Arial"/>
        <family val="2"/>
      </rPr>
      <t>2</t>
    </r>
    <r>
      <rPr>
        <sz val="10"/>
        <rFont val="Arial"/>
        <family val="2"/>
      </rPr>
      <t>.</t>
    </r>
  </si>
  <si>
    <r>
      <rPr>
        <b/>
        <sz val="10"/>
        <color rgb="FF76923C"/>
        <rFont val="Arial"/>
        <family val="2"/>
      </rPr>
      <t>Applicant</t>
    </r>
    <r>
      <rPr>
        <sz val="10"/>
        <rFont val="Arial"/>
        <family val="2"/>
      </rPr>
      <t xml:space="preserve"> - The person/organization applying for LOTUS Certification of a project.</t>
    </r>
  </si>
  <si>
    <r>
      <rPr>
        <b/>
        <sz val="10"/>
        <color rgb="FF76923C"/>
        <rFont val="Arial"/>
        <family val="2"/>
      </rPr>
      <t>Applicant Representative</t>
    </r>
    <r>
      <rPr>
        <sz val="10"/>
        <rFont val="Arial"/>
        <family val="2"/>
      </rPr>
      <t xml:space="preserve"> - The Applicant Representative is responsible for all elements of the certification and submission process within LOTUS Rating Systems. The Applicant Representative will directly liaise with the Assessment Organization Representative throughout all stages of LOTUS Certification.</t>
    </r>
  </si>
  <si>
    <r>
      <rPr>
        <b/>
        <sz val="10"/>
        <color rgb="FF76923C"/>
        <rFont val="Arial"/>
        <family val="2"/>
      </rPr>
      <t>Credit</t>
    </r>
    <r>
      <rPr>
        <sz val="10"/>
        <rFont val="Arial"/>
        <family val="2"/>
      </rPr>
      <t xml:space="preserve"> - Each Credit has a specific intent that, if followed and achieved, allows the user to gain points within a LOTUS Rating System. </t>
    </r>
  </si>
  <si>
    <r>
      <rPr>
        <b/>
        <sz val="10"/>
        <color rgb="FF76923C"/>
        <rFont val="Arial"/>
        <family val="2"/>
      </rPr>
      <t>Submission Section</t>
    </r>
    <r>
      <rPr>
        <sz val="10"/>
        <rFont val="Arial"/>
        <family val="2"/>
      </rPr>
      <t xml:space="preserve"> - The Submission Section details all requirements that will be assessed for LOTUS Certification.</t>
    </r>
  </si>
  <si>
    <r>
      <rPr>
        <b/>
        <sz val="10"/>
        <color rgb="FF76923C"/>
        <rFont val="Arial"/>
        <family val="2"/>
      </rPr>
      <t>Certification Agreement</t>
    </r>
    <r>
      <rPr>
        <sz val="10"/>
        <rFont val="Arial"/>
        <family val="2"/>
      </rPr>
      <t xml:space="preserve"> - The Certification Agreement is the legally binding contract signed between the Applicant and the Assessment Organization upon registration.</t>
    </r>
  </si>
  <si>
    <r>
      <rPr>
        <b/>
        <sz val="10"/>
        <color rgb="FF76923C"/>
        <rFont val="Arial"/>
        <family val="2"/>
      </rPr>
      <t>Assessment Organization Representative</t>
    </r>
    <r>
      <rPr>
        <sz val="10"/>
        <rFont val="Arial"/>
        <family val="2"/>
      </rPr>
      <t xml:space="preserve"> - The Assessment Organization Representative is nominated within the Registration Process and will be the Assessment Organization primary representative that liaises with the Applicant Representative throughout the duration of the project.</t>
    </r>
  </si>
  <si>
    <r>
      <rPr>
        <b/>
        <sz val="10"/>
        <color rgb="FF76923C"/>
        <rFont val="Arial"/>
        <family val="2"/>
      </rPr>
      <t>Submission</t>
    </r>
    <r>
      <rPr>
        <sz val="10"/>
        <rFont val="Arial"/>
        <family val="2"/>
      </rPr>
      <t xml:space="preserve"> - In each Credit, the Submission is the process where all documents are provided to the Assessment Organization Representative for assessment.</t>
    </r>
  </si>
  <si>
    <r>
      <rPr>
        <b/>
        <sz val="10"/>
        <color rgb="FF76923C"/>
        <rFont val="Arial"/>
        <family val="2"/>
      </rPr>
      <t>LOTUS Certified Rating</t>
    </r>
    <r>
      <rPr>
        <sz val="10"/>
        <rFont val="Arial"/>
        <family val="2"/>
      </rPr>
      <t xml:space="preserve"> - The LOTUS Certified Rating is the result obtained after Submission has been assessed at Certification stage by the Assessment Organization Representative. A project can achieved 4 levels of certification, LOTUS Certified, LOTUS Silver, LOTUS Gold or LOTUS Platinum.</t>
    </r>
  </si>
  <si>
    <t>All photographs must follow requirements given in the Glossary.</t>
  </si>
  <si>
    <r>
      <rPr>
        <b/>
        <sz val="10"/>
        <color rgb="FF76923C"/>
        <rFont val="Arial"/>
        <family val="2"/>
      </rPr>
      <t>Photographs</t>
    </r>
    <r>
      <rPr>
        <b/>
        <sz val="10"/>
        <color rgb="FF58AB27"/>
        <rFont val="Arial"/>
        <family val="2"/>
      </rPr>
      <t xml:space="preserve"> </t>
    </r>
    <r>
      <rPr>
        <sz val="10"/>
        <color theme="1"/>
        <rFont val="Arial"/>
        <family val="2"/>
      </rPr>
      <t>- Photographs can be used as evidence to show that a strategy has been implemented, a piece of equipment has been installed, etc. 
The following requirements must be met when submitting photographs as evidence:
• photographs should be dated
• photographs should not be blurry or distorted
• Several photographs (at varying levels of proximity) should be taken for each green feature meeting LOTUS requirements. In this manner, both the general location and 
the specifics (model name, rated power input, etc.) of the green feature can be observed.  
• All measures concerning a credit within a project must be verified with a photograph (for example, in credit W-1, all low-flow toilets installed in the building should be photographed).</t>
    </r>
  </si>
  <si>
    <r>
      <rPr>
        <b/>
        <sz val="10"/>
        <color rgb="FF76923C"/>
        <rFont val="Arial"/>
        <family val="2"/>
      </rPr>
      <t>LOTUS Technical Manual</t>
    </r>
    <r>
      <rPr>
        <sz val="10"/>
        <rFont val="Arial"/>
        <family val="2"/>
      </rPr>
      <t xml:space="preserve"> - The LOTUS Technical Manual is a user’s guide to attaining the LOTUS Certificate. It provides technical guidance for all LOTUS Credits in order for users to meet LOTUS requirements.</t>
    </r>
  </si>
  <si>
    <r>
      <t xml:space="preserve">Once the application form has been confirmed as complete, a </t>
    </r>
    <r>
      <rPr>
        <b/>
        <sz val="11"/>
        <color rgb="FF76923C"/>
        <rFont val="Calibri"/>
        <family val="2"/>
        <scheme val="minor"/>
      </rPr>
      <t>Certification Agreement</t>
    </r>
    <r>
      <rPr>
        <sz val="11"/>
        <color theme="1"/>
        <rFont val="Calibri"/>
        <family val="2"/>
        <scheme val="minor"/>
      </rPr>
      <t xml:space="preserve"> with all necessary terms and conditions will be signed by both the Applicant and the Assessment Organization. At this point, the Applicant is to nominate an </t>
    </r>
    <r>
      <rPr>
        <b/>
        <sz val="11"/>
        <color rgb="FF76923C"/>
        <rFont val="Calibri"/>
        <family val="2"/>
        <scheme val="minor"/>
      </rPr>
      <t>Applicant Representative</t>
    </r>
    <r>
      <rPr>
        <sz val="11"/>
        <color rgb="FF76923C"/>
        <rFont val="Calibri"/>
        <family val="2"/>
        <scheme val="minor"/>
      </rPr>
      <t xml:space="preserve"> </t>
    </r>
    <r>
      <rPr>
        <sz val="11"/>
        <color theme="1"/>
        <rFont val="Calibri"/>
        <family val="2"/>
        <scheme val="minor"/>
      </rPr>
      <t>for the duration of the project that will be the primary contact for the Assessment Organization.</t>
    </r>
  </si>
  <si>
    <t>The Assessment Organization will reply in approximately 2 weeks with an assessment report including corrections, advices and recommendations.</t>
  </si>
  <si>
    <r>
      <rPr>
        <b/>
        <sz val="10"/>
        <color rgb="FF76923C"/>
        <rFont val="Arial"/>
        <family val="2"/>
      </rPr>
      <t>Assessment Organization</t>
    </r>
    <r>
      <rPr>
        <sz val="10"/>
        <rFont val="Arial"/>
        <family val="2"/>
      </rPr>
      <t xml:space="preserve"> – The organization that performs the assessment of the projects applying for LOTUS Certification.</t>
    </r>
  </si>
  <si>
    <r>
      <t xml:space="preserve">The first step to gain LOTUS Certification is to apply and register the project with the </t>
    </r>
    <r>
      <rPr>
        <b/>
        <sz val="11"/>
        <color rgb="FF76923C"/>
        <rFont val="Calibri"/>
        <family val="2"/>
        <scheme val="minor"/>
      </rPr>
      <t>Assessment Organization</t>
    </r>
    <r>
      <rPr>
        <sz val="11"/>
        <color theme="1"/>
        <rFont val="Calibri"/>
        <family val="2"/>
        <scheme val="minor"/>
      </rPr>
      <t>. This should be done at the earliest stage possible as the implementation of “green” strategies is most effective when they are considered early in the planning and design stage.</t>
    </r>
  </si>
  <si>
    <t xml:space="preserve">Once completed, the Applicant simply sends the completed User Tool to Assessment Organization for verification. </t>
  </si>
  <si>
    <t>The data supplied will be assessed by the Assessment Organization and results of the assessment will be provided to the Applicant Representative within 4 weeks of the submission date.</t>
  </si>
  <si>
    <t>This round will give the possibility to provide further evidence to demonstrate to the Assessment Organization that pending Credits have finally been achieved. There is no limit to the number of credits that may be re-submitted, and the applicant is encouraged to re-submit all queried credits so long as they can provide new submittal information.</t>
  </si>
  <si>
    <r>
      <t xml:space="preserve">The LOTUS Certificate will be issued by the </t>
    </r>
    <r>
      <rPr>
        <b/>
        <sz val="11"/>
        <color theme="1"/>
        <rFont val="Calibri"/>
        <family val="2"/>
        <scheme val="minor"/>
      </rPr>
      <t>VGBC</t>
    </r>
    <r>
      <rPr>
        <sz val="11"/>
        <color theme="1"/>
        <rFont val="Calibri"/>
        <family val="2"/>
        <scheme val="minor"/>
      </rPr>
      <t xml:space="preserve"> upon successful completion of this final assessment. Building projects will be issued with LOTUS Certified, LOTUS Silver, LOTUS Gold or LOTUS Platinum certificates depending on the number of points achieved. </t>
    </r>
  </si>
  <si>
    <r>
      <rPr>
        <b/>
        <sz val="11"/>
        <color theme="1"/>
        <rFont val="Calibri"/>
        <family val="2"/>
        <scheme val="minor"/>
      </rPr>
      <t>VGBC</t>
    </r>
    <r>
      <rPr>
        <sz val="11"/>
        <color theme="1"/>
        <rFont val="Calibri"/>
        <family val="2"/>
        <scheme val="minor"/>
      </rPr>
      <t xml:space="preserve"> strongly encourages the applicants to submit for this stage in order to have a successful Certification.</t>
    </r>
  </si>
  <si>
    <r>
      <rPr>
        <b/>
        <sz val="11"/>
        <color rgb="FF76923C"/>
        <rFont val="Calibri"/>
        <family val="2"/>
        <scheme val="minor"/>
      </rPr>
      <t>Applicants</t>
    </r>
    <r>
      <rPr>
        <sz val="11"/>
        <color theme="1"/>
        <rFont val="Calibri"/>
        <family val="2"/>
        <scheme val="minor"/>
      </rPr>
      <t xml:space="preserve"> must complete the </t>
    </r>
    <r>
      <rPr>
        <b/>
        <sz val="11"/>
        <color rgb="FF76923C"/>
        <rFont val="Calibri"/>
        <family val="2"/>
        <scheme val="minor"/>
      </rPr>
      <t>Application Form</t>
    </r>
    <r>
      <rPr>
        <sz val="11"/>
        <color theme="1"/>
        <rFont val="Calibri"/>
        <family val="2"/>
        <scheme val="minor"/>
      </rPr>
      <t xml:space="preserve"> (included in this User Tool), print it, sign it and submit it to the </t>
    </r>
    <r>
      <rPr>
        <b/>
        <sz val="11"/>
        <color theme="1"/>
        <rFont val="Calibri"/>
        <family val="2"/>
        <scheme val="minor"/>
      </rPr>
      <t>VGBC</t>
    </r>
    <r>
      <rPr>
        <sz val="11"/>
        <color theme="1"/>
        <rFont val="Calibri"/>
        <family val="2"/>
        <scheme val="minor"/>
      </rPr>
      <t xml:space="preserve">. 
On receipt of the Application Form, the Assessment Organization will check that it is complete and all supporting information has been provided. </t>
    </r>
  </si>
  <si>
    <t>Once payment for certification fee has been received and the certification agreement has been duly signed, the Assessment Organization Representative provides the Applicant Representative with the following pre-arranged submission folder.</t>
  </si>
  <si>
    <r>
      <rPr>
        <b/>
        <sz val="10"/>
        <color rgb="FF76923C"/>
        <rFont val="Arial"/>
        <family val="2"/>
      </rPr>
      <t>Application Form</t>
    </r>
    <r>
      <rPr>
        <b/>
        <sz val="10"/>
        <color rgb="FF943634"/>
        <rFont val="Arial"/>
        <family val="2"/>
      </rPr>
      <t xml:space="preserve"> - </t>
    </r>
    <r>
      <rPr>
        <sz val="10"/>
        <rFont val="Arial"/>
        <family val="2"/>
      </rPr>
      <t>The Application Form is the first step in registering a project. Once completed, the Assessment Organization will check to see that all relevant information is present and correct, register the project and request the payment of a Certification Fee and the signing of the Certification Agreement.</t>
    </r>
  </si>
  <si>
    <t>Based on the results of the assessment of the Certification Submission, a LOTUS Small Buildings Certificate will be issued.</t>
  </si>
  <si>
    <t>The Project Submission Folder is the main folder provided that, upon completion, will be returned to the Assessment Organization Representative for assessment. The Project Submission Folder contains 8 sub-folders for the LOTUS Small Buildings Categories and a Resources Folder.</t>
  </si>
  <si>
    <t>Platinum Members</t>
  </si>
  <si>
    <t>Gold Members</t>
  </si>
  <si>
    <t>Silver Members</t>
  </si>
  <si>
    <t>• LOTUS Small Buildings V1 - User Tool</t>
  </si>
  <si>
    <t>For 1 point, 50% of all the occupied spaces have a daylit zone area of more than 75% of their floor area
For 2 points, 70% of all the occupied spaces have a daylit zone area of more than 75% of their floor area
For 3 points, 90% of all the occupied spaces have a daylit zone area of more than 75% of their floor area</t>
  </si>
  <si>
    <t>• Urinals with flush rates lower than (or equal to) 3 litres per flush</t>
  </si>
  <si>
    <r>
      <rPr>
        <sz val="12"/>
        <color indexed="9"/>
        <rFont val="Arial"/>
        <family val="2"/>
      </rPr>
      <t xml:space="preserve">Bathroom and Kitchen Taps
</t>
    </r>
    <r>
      <rPr>
        <sz val="10"/>
        <color indexed="9"/>
        <rFont val="Arial"/>
        <family val="2"/>
      </rPr>
      <t>Fixture Name</t>
    </r>
  </si>
  <si>
    <r>
      <rPr>
        <sz val="12"/>
        <color indexed="9"/>
        <rFont val="Arial"/>
        <family val="2"/>
      </rPr>
      <t xml:space="preserve">Urinals
</t>
    </r>
    <r>
      <rPr>
        <sz val="10"/>
        <color indexed="9"/>
        <rFont val="Arial"/>
        <family val="2"/>
      </rPr>
      <t>Fixture Name</t>
    </r>
  </si>
  <si>
    <t>• Dual low-flush WCs and low-flush urinals installed?</t>
  </si>
  <si>
    <t>For 2 points, install dual low-flush WCs and low-flush urinals</t>
  </si>
  <si>
    <r>
      <rPr>
        <b/>
        <sz val="10"/>
        <rFont val="Arial"/>
        <family val="2"/>
      </rPr>
      <t>Exception:</t>
    </r>
    <r>
      <rPr>
        <sz val="10"/>
        <rFont val="Arial"/>
        <family val="2"/>
      </rPr>
      <t xml:space="preserve"> Baked materials such as clay bricks cannot be considered as sustainable materials unless they are reused materials.</t>
    </r>
  </si>
  <si>
    <t>Local Material (not a baked material)</t>
  </si>
  <si>
    <t>LOTUS Small Buildings V1 Scorecard</t>
  </si>
  <si>
    <r>
      <rPr>
        <b/>
        <sz val="10"/>
        <rFont val="Arial"/>
        <family val="2"/>
      </rPr>
      <t>SHGC (Solar Heat Gain Coefficient)</t>
    </r>
    <r>
      <rPr>
        <sz val="10"/>
        <rFont val="Arial"/>
        <family val="2"/>
      </rPr>
      <t xml:space="preserve"> – The SHGC of a glass is the percent of solar energy incident on the glass that is transferred indoors both directly and indirectly through the glass.</t>
    </r>
  </si>
  <si>
    <r>
      <rPr>
        <b/>
        <sz val="10"/>
        <rFont val="Arial"/>
        <family val="2"/>
      </rPr>
      <t>A coefficient</t>
    </r>
    <r>
      <rPr>
        <sz val="10"/>
        <rFont val="Arial"/>
        <family val="2"/>
      </rPr>
      <t xml:space="preserve"> – It could be defined as "Shading coefficient" or "radiation reduction factor". It is a dimensionless parameter that represents the reduced radiation through the glass achieved by the use of shading devices. For horizontal and vertical sunshades, use Tables 2.4 and 2.5 of QCVN 09:2013 (available in the sheet 'Resources') to determine the A coefficient. For glazing areas shaded by vegetation, estimate how many percent of solar energy will not strike the window thanks to vegetation to calculate the A coefficient, this will be subject to VGBC approval.</t>
    </r>
  </si>
  <si>
    <t>North and south orientations:</t>
  </si>
  <si>
    <r>
      <rPr>
        <sz val="10"/>
        <rFont val="Calibri"/>
        <family val="2"/>
      </rPr>
      <t xml:space="preserve">• </t>
    </r>
    <r>
      <rPr>
        <sz val="10"/>
        <rFont val="Arial"/>
        <family val="2"/>
      </rPr>
      <t>install full-height louvered screen (with horizontal or vertical fins), or</t>
    </r>
  </si>
  <si>
    <r>
      <rPr>
        <sz val="10"/>
        <rFont val="Calibri"/>
        <family val="2"/>
      </rPr>
      <t xml:space="preserve">• </t>
    </r>
    <r>
      <rPr>
        <sz val="10"/>
        <rFont val="Arial"/>
        <family val="2"/>
      </rPr>
      <t xml:space="preserve"> install vegetation covering the whole glazing area</t>
    </r>
  </si>
  <si>
    <t>East and west orientations:</t>
  </si>
  <si>
    <t>If the building has no glazing areas on north and south orientations, no point can be earned for installing appropriate shading devices on windows of the north and south facades.</t>
  </si>
  <si>
    <t>If the building has no glazing areas on east and west orientations, no point can be earned for installing appropriate shading devices on windows of the east and west facades.</t>
  </si>
  <si>
    <t>Shading device installed</t>
  </si>
  <si>
    <t>Compliant ?</t>
  </si>
  <si>
    <r>
      <rPr>
        <sz val="10"/>
        <rFont val="Calibri"/>
        <family val="2"/>
      </rPr>
      <t xml:space="preserve">• </t>
    </r>
    <r>
      <rPr>
        <sz val="10"/>
        <rFont val="Arial"/>
        <family val="2"/>
      </rPr>
      <t>install horizontal overhangs that achieves a value of A coefficient higher than 1.3 (Table 2.4 of QCVN 09:2013 - VBEEC), or</t>
    </r>
  </si>
  <si>
    <t>Complete the Table below with information on windows located on the north and south facades:</t>
  </si>
  <si>
    <t>E or W</t>
  </si>
  <si>
    <t>E</t>
  </si>
  <si>
    <t>W</t>
  </si>
  <si>
    <t>Horizontal sunshades:</t>
  </si>
  <si>
    <t>Vertical sunshades:</t>
  </si>
  <si>
    <t>B - window width</t>
  </si>
  <si>
    <t>e</t>
  </si>
  <si>
    <t>R=b/B</t>
  </si>
  <si>
    <t>e/B</t>
  </si>
  <si>
    <t>Glazing type</t>
  </si>
  <si>
    <t>% of compliant shading devices</t>
  </si>
  <si>
    <t>Complete the Table below with information on windows located on the east and west facades:</t>
  </si>
  <si>
    <t>Calculation of A coefficient for external shading devices</t>
  </si>
  <si>
    <r>
      <rPr>
        <b/>
        <sz val="10"/>
        <color rgb="FF76923C"/>
        <rFont val="Arial"/>
        <family val="2"/>
      </rPr>
      <t>SHGC (Solar Heat Gain Coefficient)</t>
    </r>
    <r>
      <rPr>
        <sz val="10"/>
        <color rgb="FF58AB27"/>
        <rFont val="Arial"/>
        <family val="2"/>
      </rPr>
      <t xml:space="preserve"> </t>
    </r>
    <r>
      <rPr>
        <sz val="10"/>
        <color theme="1"/>
        <rFont val="Arial"/>
        <family val="2"/>
      </rPr>
      <t>- The SHGC of a glass is the percent of solar energy incident on the glass that is transferred indoors both directly and indirectly through the glass.</t>
    </r>
  </si>
  <si>
    <r>
      <t>On receipt of the signed copy of th</t>
    </r>
    <r>
      <rPr>
        <sz val="11"/>
        <rFont val="Calibri"/>
        <family val="2"/>
        <scheme val="minor"/>
      </rPr>
      <t>e Certification Agreement,</t>
    </r>
    <r>
      <rPr>
        <sz val="11"/>
        <color theme="1"/>
        <rFont val="Calibri"/>
        <family val="2"/>
        <scheme val="minor"/>
      </rPr>
      <t xml:space="preserve"> an </t>
    </r>
    <r>
      <rPr>
        <b/>
        <sz val="11"/>
        <color rgb="FF76923C"/>
        <rFont val="Calibri"/>
        <family val="2"/>
        <scheme val="minor"/>
      </rPr>
      <t>Assessment Fee</t>
    </r>
    <r>
      <rPr>
        <sz val="11"/>
        <color theme="1"/>
        <rFont val="Calibri"/>
        <family val="2"/>
        <scheme val="minor"/>
      </rPr>
      <t xml:space="preserve"> will be invoiced and must be paid prior to any submission of documentation. The project registration is complete when the Assessment Fee is paid. The Applicant will then be issued with a </t>
    </r>
    <r>
      <rPr>
        <b/>
        <sz val="11"/>
        <color rgb="FF76923C"/>
        <rFont val="Calibri"/>
        <family val="2"/>
        <scheme val="minor"/>
      </rPr>
      <t>Project Identification Number (PIN)</t>
    </r>
    <r>
      <rPr>
        <sz val="11"/>
        <color rgb="FF76923C"/>
        <rFont val="Calibri"/>
        <family val="2"/>
        <scheme val="minor"/>
      </rPr>
      <t xml:space="preserve"> </t>
    </r>
    <r>
      <rPr>
        <sz val="11"/>
        <color theme="1"/>
        <rFont val="Calibri"/>
        <family val="2"/>
        <scheme val="minor"/>
      </rPr>
      <t xml:space="preserve">and assigned a </t>
    </r>
    <r>
      <rPr>
        <b/>
        <sz val="11"/>
        <color rgb="FF76923C"/>
        <rFont val="Calibri"/>
        <family val="2"/>
        <scheme val="minor"/>
      </rPr>
      <t>Assessment Organization Representative</t>
    </r>
    <r>
      <rPr>
        <sz val="11"/>
        <color theme="1"/>
        <rFont val="Calibri"/>
        <family val="2"/>
        <scheme val="minor"/>
      </rPr>
      <t xml:space="preserve"> for the certification process.</t>
    </r>
  </si>
  <si>
    <r>
      <rPr>
        <b/>
        <sz val="10"/>
        <color rgb="FF76923C"/>
        <rFont val="Arial"/>
        <family val="2"/>
      </rPr>
      <t>Assessment Fee</t>
    </r>
    <r>
      <rPr>
        <sz val="10"/>
        <rFont val="Arial"/>
        <family val="2"/>
      </rPr>
      <t xml:space="preserve"> - The Assessment Fee is a one off charge for the total administration process of LOTUS Certification and is bound by the Certification Agreement.</t>
    </r>
  </si>
  <si>
    <r>
      <t>³</t>
    </r>
    <r>
      <rPr>
        <sz val="10"/>
        <color theme="1"/>
        <rFont val="Arial"/>
        <family val="2"/>
      </rPr>
      <t xml:space="preserve"> 70 kW to &lt; 117 kW</t>
    </r>
  </si>
  <si>
    <r>
      <t>³</t>
    </r>
    <r>
      <rPr>
        <sz val="10"/>
        <color theme="1"/>
        <rFont val="Arial"/>
        <family val="2"/>
      </rPr>
      <t xml:space="preserve"> 117 kW</t>
    </r>
  </si>
  <si>
    <t>Zamil Steel Vietnam</t>
  </si>
  <si>
    <t>CC1-MEKONG</t>
  </si>
  <si>
    <r>
      <rPr>
        <b/>
        <u/>
        <sz val="11"/>
        <color theme="1" tint="0.249977111117893"/>
        <rFont val="Arial"/>
        <family val="2"/>
      </rPr>
      <t>Aim:</t>
    </r>
    <r>
      <rPr>
        <sz val="11"/>
        <color theme="1" tint="0.249977111117893"/>
        <rFont val="Arial"/>
        <family val="2"/>
      </rPr>
      <t xml:space="preserve"> To reduce the consumption of water in buildings by means of water efficient fixtures.
</t>
    </r>
    <r>
      <rPr>
        <b/>
        <u/>
        <sz val="11"/>
        <color theme="1" tint="0.249977111117893"/>
        <rFont val="Arial"/>
        <family val="2"/>
      </rPr>
      <t>Reference:</t>
    </r>
    <r>
      <rPr>
        <sz val="11"/>
        <color theme="1" tint="0.249977111117893"/>
        <rFont val="Arial"/>
        <family val="2"/>
      </rPr>
      <t xml:space="preserve"> Page 46 of the LOTUS Small Buildings V1 Technical Manual
</t>
    </r>
    <r>
      <rPr>
        <b/>
        <u/>
        <sz val="11"/>
        <color theme="1" tint="0.249977111117893"/>
        <rFont val="Arial"/>
        <family val="2"/>
      </rPr>
      <t>Instructions:</t>
    </r>
    <r>
      <rPr>
        <b/>
        <sz val="11"/>
        <color theme="1" tint="0.249977111117893"/>
        <rFont val="Arial"/>
        <family val="2"/>
      </rPr>
      <t xml:space="preserve"> Choose to follow either the Prescriptive Path </t>
    </r>
    <r>
      <rPr>
        <b/>
        <sz val="11"/>
        <color rgb="FFFF0000"/>
        <rFont val="Arial"/>
        <family val="2"/>
      </rPr>
      <t>OR</t>
    </r>
    <r>
      <rPr>
        <b/>
        <sz val="11"/>
        <color theme="1" tint="0.249977111117893"/>
        <rFont val="Arial"/>
        <family val="2"/>
      </rPr>
      <t xml:space="preserve"> the Performance Path
Read all the instructions and complete the information on the water fixtures installed in the building.</t>
    </r>
  </si>
  <si>
    <t>Complete the LOTUS Water Calculation Tool to calculate the daily design and baseline water use through fixtures.</t>
  </si>
  <si>
    <t xml:space="preserve">The baseline annual water use is calculated using values in Tables W.2 to W.6 (available in Resources sheet) </t>
  </si>
  <si>
    <t xml:space="preserve">W-1 Water Efficient Fixtures  </t>
  </si>
  <si>
    <r>
      <rPr>
        <sz val="10"/>
        <color rgb="FF0070C0"/>
        <rFont val="Arial"/>
        <family val="2"/>
      </rPr>
      <t>Table W.2</t>
    </r>
    <r>
      <rPr>
        <sz val="10"/>
        <rFont val="Arial"/>
        <family val="2"/>
      </rPr>
      <t xml:space="preserve">: Baseline daily fixture uses for office, hospitals &amp; factory buildings </t>
    </r>
  </si>
  <si>
    <t>Daily Fixture Uses</t>
  </si>
  <si>
    <t>Duration of Use 
(flow fixtures)</t>
  </si>
  <si>
    <t>Full Time Occupants</t>
  </si>
  <si>
    <t>Visitors</t>
  </si>
  <si>
    <t>WC - Single Flush (female)</t>
  </si>
  <si>
    <t>WC - Dual flush (female)</t>
  </si>
  <si>
    <t>1 full-flush /</t>
  </si>
  <si>
    <t xml:space="preserve">0.1 full-flush / </t>
  </si>
  <si>
    <t>2 half-flushes</t>
  </si>
  <si>
    <t>0.4 half-flush</t>
  </si>
  <si>
    <t>WC - Single Flush (male)</t>
  </si>
  <si>
    <t>WC - Dual flush (male)</t>
  </si>
  <si>
    <t>1 full-flush</t>
  </si>
  <si>
    <t>0.1 full-flush</t>
  </si>
  <si>
    <t>Urinal (male)</t>
  </si>
  <si>
    <t>15 sec; 12 sec with auto-control</t>
  </si>
  <si>
    <t>300 sec</t>
  </si>
  <si>
    <t>15 sec</t>
  </si>
  <si>
    <t>(Source: Default Fixture Uses, LEED Reference Guide for Green Building and Construction, 2009)</t>
  </si>
  <si>
    <r>
      <rPr>
        <sz val="10"/>
        <color rgb="FF0070C0"/>
        <rFont val="Arial"/>
        <family val="2"/>
      </rPr>
      <t>Table W.3</t>
    </r>
    <r>
      <rPr>
        <sz val="10"/>
        <rFont val="Arial"/>
        <family val="2"/>
      </rPr>
      <t xml:space="preserve">: Baseline daily fixture uses for residential &amp; hotel buildings </t>
    </r>
  </si>
  <si>
    <t>Residents / Hotel Guests</t>
  </si>
  <si>
    <t>1 full-flush / 2 half-flushes</t>
  </si>
  <si>
    <t>0.1 full-flush / 0.4 half-flushes</t>
  </si>
  <si>
    <t xml:space="preserve">1 full-flush </t>
  </si>
  <si>
    <t>Residents: 60 sec. Others: 15 sec or 12 sec with auto-control</t>
  </si>
  <si>
    <t>Residents: 480 sec. Others: 300 sec</t>
  </si>
  <si>
    <t xml:space="preserve">Residents: 60 sec. Others: 15 sec </t>
  </si>
  <si>
    <t>1 / living unit</t>
  </si>
  <si>
    <r>
      <rPr>
        <sz val="10"/>
        <color rgb="FF0070C0"/>
        <rFont val="Arial"/>
        <family val="2"/>
      </rPr>
      <t>Table W.4</t>
    </r>
    <r>
      <rPr>
        <sz val="10"/>
        <rFont val="Arial"/>
        <family val="2"/>
      </rPr>
      <t xml:space="preserve">: Baseline daily fixture uses for educational buildings </t>
    </r>
  </si>
  <si>
    <t xml:space="preserve">Students
(kindergarten and primary education
</t>
  </si>
  <si>
    <t>Students
(secondary &amp; post/secondary education)</t>
  </si>
  <si>
    <t>0.5 full-flush / 1 half-flushes</t>
  </si>
  <si>
    <t xml:space="preserve">0.5 full-flush </t>
  </si>
  <si>
    <r>
      <rPr>
        <sz val="10"/>
        <color rgb="FF0070C0"/>
        <rFont val="Arial"/>
        <family val="2"/>
      </rPr>
      <t>Table W.5</t>
    </r>
    <r>
      <rPr>
        <sz val="10"/>
        <rFont val="Arial"/>
        <family val="2"/>
      </rPr>
      <t xml:space="preserve">: Baseline daily fixture uses for retail buildings </t>
    </r>
  </si>
  <si>
    <t>Retail Customers</t>
  </si>
  <si>
    <t>0.1 full-flush / 0.1 half-flushes</t>
  </si>
  <si>
    <r>
      <rPr>
        <sz val="10"/>
        <color rgb="FF0070C0"/>
        <rFont val="Arial"/>
        <family val="2"/>
      </rPr>
      <t>Table W.6</t>
    </r>
    <r>
      <rPr>
        <sz val="10"/>
        <rFont val="Arial"/>
        <family val="2"/>
      </rPr>
      <t xml:space="preserve">: Baseline fixtures water use </t>
    </r>
  </si>
  <si>
    <t>Urinal (flush)</t>
  </si>
  <si>
    <t>3.79 Lpf</t>
  </si>
  <si>
    <t>120 L/load</t>
  </si>
  <si>
    <t>(Source: UPC and IPC Standards)</t>
  </si>
  <si>
    <r>
      <rPr>
        <b/>
        <u/>
        <sz val="11"/>
        <color theme="1" tint="0.249977111117893"/>
        <rFont val="Arial"/>
        <family val="2"/>
      </rPr>
      <t>Aim:</t>
    </r>
    <r>
      <rPr>
        <sz val="11"/>
        <color theme="1" tint="0.249977111117893"/>
        <rFont val="Arial"/>
        <family val="2"/>
      </rPr>
      <t xml:space="preserve"> To reduce potable water consumption on landscaping.
</t>
    </r>
    <r>
      <rPr>
        <b/>
        <u/>
        <sz val="11"/>
        <color theme="1" tint="0.249977111117893"/>
        <rFont val="Arial"/>
        <family val="2"/>
      </rPr>
      <t>Reference:</t>
    </r>
    <r>
      <rPr>
        <sz val="11"/>
        <color theme="1" tint="0.249977111117893"/>
        <rFont val="Arial"/>
        <family val="2"/>
      </rPr>
      <t xml:space="preserve"> Page 47 of the LOTUS Small Buildings V1 Technical Manual
</t>
    </r>
    <r>
      <rPr>
        <b/>
        <u/>
        <sz val="11"/>
        <color theme="1" tint="0.249977111117893"/>
        <rFont val="Arial"/>
        <family val="2"/>
      </rPr>
      <t>Instructions:</t>
    </r>
    <r>
      <rPr>
        <b/>
        <sz val="11"/>
        <color theme="1" tint="0.249977111117893"/>
        <rFont val="Arial"/>
        <family val="2"/>
      </rPr>
      <t xml:space="preserve"> Choose to follow either the Prescriptive Path </t>
    </r>
    <r>
      <rPr>
        <b/>
        <sz val="11"/>
        <color rgb="FFFF0000"/>
        <rFont val="Arial"/>
        <family val="2"/>
      </rPr>
      <t>OR</t>
    </r>
    <r>
      <rPr>
        <b/>
        <sz val="11"/>
        <color theme="1" tint="0.249977111117893"/>
        <rFont val="Arial"/>
        <family val="2"/>
      </rPr>
      <t xml:space="preserve"> the Performance Path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</si>
  <si>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reduce consumption of bottled drinking water and improve quality of drinking water.
</t>
    </r>
    <r>
      <rPr>
        <b/>
        <u/>
        <sz val="11"/>
        <color theme="1" tint="0.249977111117893"/>
        <rFont val="Arial"/>
        <family val="2"/>
      </rPr>
      <t>Reference:</t>
    </r>
    <r>
      <rPr>
        <sz val="11"/>
        <color theme="1" tint="0.249977111117893"/>
        <rFont val="Arial"/>
        <family val="2"/>
      </rPr>
      <t xml:space="preserve"> Page 49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light-red-coloured cells with appropriate information.</t>
    </r>
  </si>
  <si>
    <r>
      <rPr>
        <b/>
        <u/>
        <sz val="11"/>
        <color theme="1" tint="0.249977111117893"/>
        <rFont val="Arial"/>
        <family val="2"/>
      </rPr>
      <t>Reference:</t>
    </r>
    <r>
      <rPr>
        <sz val="11"/>
        <color theme="1" tint="0.249977111117893"/>
        <rFont val="Arial"/>
        <family val="2"/>
      </rPr>
      <t xml:space="preserve"> Page 130-136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</si>
  <si>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sz val="10"/>
        <rFont val="Arial"/>
        <family val="2"/>
      </rPr>
      <t>Strategy C: Shading devices</t>
    </r>
    <r>
      <rPr>
        <sz val="10"/>
        <rFont val="Arial"/>
        <family val="2"/>
      </rPr>
      <t xml:space="preserve">
1 point for meeting each of the following requirements: 
- Install appropriate shading devices on 90% of the glazing area of the north and south facades
- Install appropriate shading devices on 90% of the glazing area of the east and west facades</t>
    </r>
  </si>
  <si>
    <r>
      <rPr>
        <b/>
        <u/>
        <sz val="11"/>
        <color theme="1" tint="0.249977111117893"/>
        <rFont val="Arial"/>
        <family val="2"/>
      </rPr>
      <t>Aim:</t>
    </r>
    <r>
      <rPr>
        <sz val="11"/>
        <color theme="1" tint="0.249977111117893"/>
        <rFont val="Arial"/>
        <family val="2"/>
      </rPr>
      <t xml:space="preserve"> To incorporate design techniques that take advantage of the natural climate and site to minimize mechanical cooling in the building, while ensuring comfort for all occupants
</t>
    </r>
    <r>
      <rPr>
        <b/>
        <u/>
        <sz val="11"/>
        <color theme="1" tint="0.249977111117893"/>
        <rFont val="Arial"/>
        <family val="2"/>
      </rPr>
      <t>Reference:</t>
    </r>
    <r>
      <rPr>
        <b/>
        <sz val="11"/>
        <color theme="1" tint="0.249977111117893"/>
        <rFont val="Arial"/>
        <family val="2"/>
      </rPr>
      <t xml:space="preserve"> </t>
    </r>
    <r>
      <rPr>
        <sz val="11"/>
        <color theme="1" tint="0.249977111117893"/>
        <rFont val="Arial"/>
        <family val="2"/>
      </rPr>
      <t xml:space="preserve">Page 25 of the LOTUS Small Buildings V1 Technical Manual
</t>
    </r>
    <r>
      <rPr>
        <b/>
        <u/>
        <sz val="11"/>
        <color theme="1" tint="0.249977111117893"/>
        <rFont val="Arial"/>
        <family val="2"/>
      </rPr>
      <t>Instructions:</t>
    </r>
    <r>
      <rPr>
        <b/>
        <sz val="11"/>
        <color theme="1" tint="0.249977111117893"/>
        <rFont val="Arial"/>
        <family val="2"/>
      </rPr>
      <t xml:space="preserve"> </t>
    </r>
    <r>
      <rPr>
        <b/>
        <sz val="11"/>
        <color rgb="FF58B527"/>
        <rFont val="Arial"/>
        <family val="2"/>
      </rPr>
      <t>3 strategies</t>
    </r>
    <r>
      <rPr>
        <b/>
        <sz val="11"/>
        <color theme="1" tint="0.249977111117893"/>
        <rFont val="Arial"/>
        <family val="2"/>
      </rPr>
      <t xml:space="preserve"> are available for this credit and they can all be followed at the same time with </t>
    </r>
    <r>
      <rPr>
        <b/>
        <sz val="11"/>
        <color rgb="FF58B527"/>
        <rFont val="Arial"/>
        <family val="2"/>
      </rPr>
      <t>a maximum of 5 points available</t>
    </r>
    <r>
      <rPr>
        <b/>
        <sz val="11"/>
        <color theme="1" tint="0.249977111117893"/>
        <rFont val="Arial"/>
        <family val="2"/>
      </rPr>
      <t>. 
Read all the instructions and complete the information on passive design in the light red-coloured cells.</t>
    </r>
  </si>
  <si>
    <r>
      <rPr>
        <b/>
        <sz val="10"/>
        <rFont val="Arial"/>
        <family val="2"/>
      </rPr>
      <t>Strategy B1: Variable speed compressors</t>
    </r>
    <r>
      <rPr>
        <sz val="10"/>
        <rFont val="Arial"/>
        <family val="2"/>
      </rPr>
      <t xml:space="preserve"> 
For 1 point, all air-conditioners are equipped with variable speed compressors</t>
    </r>
  </si>
  <si>
    <t>Strategy B2: Energy efficient air-conditioners</t>
  </si>
  <si>
    <r>
      <rPr>
        <b/>
        <sz val="10"/>
        <rFont val="Arial"/>
        <family val="2"/>
      </rPr>
      <t xml:space="preserve">Strategy B1: Variable speed compressors </t>
    </r>
    <r>
      <rPr>
        <sz val="10"/>
        <rFont val="Arial"/>
        <family val="2"/>
      </rPr>
      <t xml:space="preserve">
For 1 point, all air-conditioners are equipped with variable speed compressors</t>
    </r>
  </si>
  <si>
    <t>Strategy B2: COP Improvement</t>
  </si>
  <si>
    <t>For 1 point, average COP of all the air-conditioners is 10% higher than VBEEC requirements
1 point for every 10% improvement of the average COP of all the air-conditioners in comparison to VBEEC requirements (up to 30%)</t>
  </si>
  <si>
    <t>For 1 point, 20% of the net occupied area is designed with cross ventilation
1 point for every 20% of the net occupied area designed with cross ventilation (up to 80%)</t>
  </si>
  <si>
    <t>Implement innovative and environmentally friendly solutions that are not considered in the scope of LOTUS Homes</t>
  </si>
  <si>
    <t>Innovative solution 1</t>
  </si>
  <si>
    <t>Proposed Innovative solution</t>
  </si>
  <si>
    <t>Innovative nature</t>
  </si>
  <si>
    <t>Environmental benefit</t>
  </si>
  <si>
    <t>Innovative solution 2</t>
  </si>
  <si>
    <t>Innovative solution 3</t>
  </si>
  <si>
    <t>Innovative solution 4</t>
  </si>
  <si>
    <t>For Innovation 1, submit all the documentation listed below:</t>
  </si>
  <si>
    <t xml:space="preserve">• Evidence demonstrating that the construction, installation or implementation has been done according to the description provided. </t>
  </si>
  <si>
    <t>• If necessary, supporting evidence verifying the expected performance such as manufacturer’s data, calculations, etc.</t>
  </si>
  <si>
    <t>For Innovation 2, submit all the documentation listed below:</t>
  </si>
  <si>
    <t>For Innovation 3, submit all the documentation listed below:</t>
  </si>
  <si>
    <t>For Innovation 4, submit all the documentation listed below:</t>
  </si>
  <si>
    <r>
      <rPr>
        <b/>
        <u/>
        <sz val="11"/>
        <color theme="1" tint="0.249977111117893"/>
        <rFont val="Arial"/>
        <family val="2"/>
      </rPr>
      <t>Aim:</t>
    </r>
    <r>
      <rPr>
        <sz val="11"/>
        <color theme="1" tint="0.249977111117893"/>
        <rFont val="Arial"/>
        <family val="2"/>
      </rPr>
      <t xml:space="preserve"> To promote techniques and/or initiatives that are out of the scope of the current LOTUS Rating System.
</t>
    </r>
    <r>
      <rPr>
        <b/>
        <u/>
        <sz val="11"/>
        <color theme="1" tint="0.249977111117893"/>
        <rFont val="Arial"/>
        <family val="2"/>
      </rPr>
      <t>Reference:</t>
    </r>
    <r>
      <rPr>
        <sz val="11"/>
        <color theme="1" tint="0.249977111117893"/>
        <rFont val="Arial"/>
        <family val="2"/>
      </rPr>
      <t xml:space="preserve"> Page 121 of the LOTUS Small Buildings V1 Technical Manual
</t>
    </r>
    <r>
      <rPr>
        <b/>
        <u/>
        <sz val="11"/>
        <color theme="1" tint="0.249977111117893"/>
        <rFont val="Arial"/>
        <family val="2"/>
      </rPr>
      <t>Instructions:</t>
    </r>
    <r>
      <rPr>
        <b/>
        <sz val="11"/>
        <color theme="1" tint="0.249977111117893"/>
        <rFont val="Arial"/>
        <family val="2"/>
      </rPr>
      <t xml:space="preserve"> Read all the instructions and complete the relevent information in the light red-coloured cells.</t>
    </r>
  </si>
  <si>
    <t>Case 3: In a credit with different strategies available, the building performance reaches a higher number of points than what is available in the credit.</t>
  </si>
  <si>
    <t>Description of the measures taken to surpass the initial credit requirement</t>
  </si>
  <si>
    <r>
      <rPr>
        <b/>
        <u/>
        <sz val="11"/>
        <color theme="1" tint="0.249977111117893"/>
        <rFont val="Arial"/>
        <family val="2"/>
      </rPr>
      <t>Aim:</t>
    </r>
    <r>
      <rPr>
        <sz val="11"/>
        <color theme="1" tint="0.249977111117893"/>
        <rFont val="Arial"/>
        <family val="2"/>
      </rPr>
      <t xml:space="preserve"> To encourage exceptional performance, and recognise projects that achieves environmental benefits in excess of the current LOTUS Rating System benchmarks
</t>
    </r>
    <r>
      <rPr>
        <b/>
        <u/>
        <sz val="11"/>
        <color theme="1" tint="0.249977111117893"/>
        <rFont val="Arial"/>
        <family val="2"/>
      </rPr>
      <t>Reference:</t>
    </r>
    <r>
      <rPr>
        <sz val="11"/>
        <color theme="1" tint="0.249977111117893"/>
        <rFont val="Arial"/>
        <family val="2"/>
      </rPr>
      <t xml:space="preserve"> Page 119 of the LOTUS Small Buildings V1 Technical Manual
</t>
    </r>
    <r>
      <rPr>
        <b/>
        <u/>
        <sz val="11"/>
        <color theme="1" tint="0.249977111117893"/>
        <rFont val="Arial"/>
        <family val="2"/>
      </rPr>
      <t>Instructions:</t>
    </r>
    <r>
      <rPr>
        <b/>
        <sz val="11"/>
        <color theme="1" tint="0.249977111117893"/>
        <rFont val="Arial"/>
        <family val="2"/>
      </rPr>
      <t xml:space="preserve"> Read all the instructions and complete the relevent information in the light red-coloured cells.</t>
    </r>
  </si>
  <si>
    <t xml:space="preserve">    </t>
  </si>
  <si>
    <t xml:space="preserve">   </t>
  </si>
  <si>
    <t xml:space="preserve">            </t>
  </si>
  <si>
    <t>Arcadis Vietnam Co., Ltd</t>
  </si>
  <si>
    <t>DP Sustainable Design</t>
  </si>
  <si>
    <t>Europe Deco Concrete Co., Ltd.</t>
  </si>
  <si>
    <t>FDC Investment Construction &amp; Real Estate</t>
  </si>
  <si>
    <t>GROUP GSA</t>
  </si>
  <si>
    <t xml:space="preserve">Hoang Tam Architecture &amp; Interior </t>
  </si>
  <si>
    <t>Nam A Jsc.</t>
  </si>
  <si>
    <t>New Era Block Tile JSC</t>
  </si>
  <si>
    <t>Ngoc Nguyet Service &amp; Trading Co., Ltd</t>
  </si>
  <si>
    <t>Pinctadali Vietnam</t>
  </si>
  <si>
    <t>Sài Gòn Xanh</t>
  </si>
  <si>
    <t>Solar Electric Vietnam JSC</t>
  </si>
  <si>
    <t>TT-Associates</t>
  </si>
  <si>
    <t>Unity Architects</t>
  </si>
  <si>
    <t xml:space="preserve">Vietnam Investment Consulting and Construction Designing JSC </t>
  </si>
  <si>
    <t>WORK &amp; WONDERS Co., Ltd</t>
  </si>
  <si>
    <t>The VGBC would also like to thank its generous and valuable members (as of September 2017):</t>
  </si>
  <si>
    <t>• Light occupancy sensors to automatically turn lights on and off based on occupancy in spaces other than bathrooms, hallways, entryways, etc.</t>
  </si>
  <si>
    <t>Identify the following for Construction Worker Management:</t>
  </si>
  <si>
    <t>LOTUS Small Buildings is part of the LOTUS Rating Systems 'family' which includes LOTUS Non-Residential, LOTUS Multi-family Residential, LOTUS Buildings in Operation, LOTUS Homes, LOTUS Interiors and LOTUS Small Interiors.</t>
  </si>
  <si>
    <r>
      <rPr>
        <b/>
        <sz val="11"/>
        <rFont val="Calibri"/>
        <family val="2"/>
        <scheme val="minor"/>
      </rPr>
      <t xml:space="preserve">• </t>
    </r>
    <r>
      <rPr>
        <b/>
        <sz val="11"/>
        <color rgb="FF984806"/>
        <rFont val="Calibri"/>
        <family val="2"/>
        <scheme val="minor"/>
      </rPr>
      <t>Community and Management (CM)</t>
    </r>
    <r>
      <rPr>
        <sz val="11"/>
        <rFont val="Calibri"/>
        <family val="2"/>
        <scheme val="minor"/>
      </rPr>
      <t xml:space="preserve"> - To increase the awareness of how buildings affect the community and to ensure that, throughout the project, all targets set up are competently and effectively managed.</t>
    </r>
  </si>
  <si>
    <t>In LOTUS Small Buildings, documents drawn by hand such as drawings, plans, elevations, etc. will be accepted by the Assessment Organization  if they are signed and legible.</t>
  </si>
  <si>
    <t>Please make sure to fully complete the Project information sheet before sending submissions.
Don't forget to select the correct stage of submissions.</t>
  </si>
  <si>
    <t>Certification Agreement is signed</t>
  </si>
  <si>
    <t>Assessment Fee has been paid</t>
  </si>
  <si>
    <t>Notification Form sent a minimum of 2 weeks before submissions</t>
  </si>
  <si>
    <t>Upload the zip file on a file hosting website (such as dropbox) and send the link by email -OR- include the file on a CD/flash drive and send by mail.</t>
  </si>
  <si>
    <r>
      <rPr>
        <b/>
        <u/>
        <sz val="11"/>
        <color theme="1" tint="0.249977111117893"/>
        <rFont val="Arial"/>
        <family val="2"/>
      </rPr>
      <t>Aim:</t>
    </r>
    <r>
      <rPr>
        <sz val="11"/>
        <color theme="1" tint="0.249977111117893"/>
        <rFont val="Arial"/>
        <family val="2"/>
      </rPr>
      <t xml:space="preserve"> To ensure proper application of materials and techniques to the construction of the building envelope to optimise the thermal performance of the building.
</t>
    </r>
    <r>
      <rPr>
        <b/>
        <u/>
        <sz val="11"/>
        <color theme="1" tint="0.249977111117893"/>
        <rFont val="Arial"/>
        <family val="2"/>
      </rPr>
      <t>Reference:</t>
    </r>
    <r>
      <rPr>
        <sz val="11"/>
        <color theme="1" tint="0.249977111117893"/>
        <rFont val="Arial"/>
        <family val="2"/>
      </rPr>
      <t xml:space="preserve"> Page 29 of the LOTUS Small Buildings V1 Technical Manual
</t>
    </r>
    <r>
      <rPr>
        <b/>
        <u/>
        <sz val="11"/>
        <color theme="1" tint="0.249977111117893"/>
        <rFont val="Arial"/>
        <family val="2"/>
      </rPr>
      <t>Instructions:</t>
    </r>
    <r>
      <rPr>
        <b/>
        <sz val="11"/>
        <color theme="1" tint="0.249977111117893"/>
        <rFont val="Arial"/>
        <family val="2"/>
      </rPr>
      <t xml:space="preserve"> Choose to follow either the Prescriptive Path </t>
    </r>
    <r>
      <rPr>
        <b/>
        <sz val="11"/>
        <color rgb="FFFF0000"/>
        <rFont val="Arial"/>
        <family val="2"/>
      </rPr>
      <t>OR</t>
    </r>
    <r>
      <rPr>
        <b/>
        <sz val="11"/>
        <color theme="1" tint="0.249977111117893"/>
        <rFont val="Arial"/>
        <family val="2"/>
      </rPr>
      <t xml:space="preserve"> the Performance Path
In each path, different strategies can be followed with </t>
    </r>
    <r>
      <rPr>
        <b/>
        <sz val="11"/>
        <color rgb="FF58B527"/>
        <rFont val="Arial"/>
        <family val="2"/>
      </rPr>
      <t>a maximum of 4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</si>
  <si>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have access to energy use information and encourage energy conservation.
</t>
    </r>
    <r>
      <rPr>
        <b/>
        <u/>
        <sz val="11"/>
        <color theme="1" tint="0.249977111117893"/>
        <rFont val="Arial"/>
        <family val="2"/>
      </rPr>
      <t>Reference:</t>
    </r>
    <r>
      <rPr>
        <sz val="11"/>
        <color theme="1" tint="0.249977111117893"/>
        <rFont val="Arial"/>
        <family val="2"/>
      </rPr>
      <t xml:space="preserve"> Page 42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</si>
  <si>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reduce the energy consumption of equipment and appliances.
</t>
    </r>
    <r>
      <rPr>
        <b/>
        <u/>
        <sz val="11"/>
        <color theme="1" tint="0.249977111117893"/>
        <rFont val="Arial"/>
        <family val="2"/>
      </rPr>
      <t>Reference:</t>
    </r>
    <r>
      <rPr>
        <sz val="11"/>
        <color theme="1" tint="0.249977111117893"/>
        <rFont val="Arial"/>
        <family val="2"/>
      </rPr>
      <t xml:space="preserve"> Page 39 of the LOTUS Small Buildings V1 Technical Manual
</t>
    </r>
    <r>
      <rPr>
        <b/>
        <u/>
        <sz val="11"/>
        <color theme="1" tint="0.249977111117893"/>
        <rFont val="Arial"/>
        <family val="2"/>
      </rPr>
      <t>Instructions:</t>
    </r>
    <r>
      <rPr>
        <b/>
        <sz val="11"/>
        <color theme="1" tint="0.249977111117893"/>
        <rFont val="Arial"/>
        <family val="2"/>
      </rPr>
      <t xml:space="preserve"> </t>
    </r>
    <r>
      <rPr>
        <b/>
        <sz val="11"/>
        <color rgb="FF58B527"/>
        <rFont val="Arial"/>
        <family val="2"/>
      </rPr>
      <t>2 strategies</t>
    </r>
    <r>
      <rPr>
        <b/>
        <sz val="11"/>
        <color theme="1" tint="0.249977111117893"/>
        <rFont val="Arial"/>
        <family val="2"/>
      </rPr>
      <t xml:space="preserve"> are available for this credit and both strategies can be followed at the same time with</t>
    </r>
    <r>
      <rPr>
        <b/>
        <sz val="11"/>
        <color rgb="FF58B527"/>
        <rFont val="Arial"/>
        <family val="2"/>
      </rPr>
      <t xml:space="preserve"> a maximum of 2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</si>
  <si>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reduce energy consumption associated with the use of interior artificial lighting systems by selecting efficient lighting fixtures
</t>
    </r>
    <r>
      <rPr>
        <b/>
        <u/>
        <sz val="11"/>
        <color theme="1" tint="0.249977111117893"/>
        <rFont val="Arial"/>
        <family val="2"/>
      </rPr>
      <t>Reference:</t>
    </r>
    <r>
      <rPr>
        <sz val="11"/>
        <color theme="1" tint="0.249977111117893"/>
        <rFont val="Arial"/>
        <family val="2"/>
      </rPr>
      <t xml:space="preserve"> Page 35 of the LOTUS Small Buildings V1 Technical Manual
</t>
    </r>
    <r>
      <rPr>
        <b/>
        <u/>
        <sz val="11"/>
        <color theme="1" tint="0.249977111117893"/>
        <rFont val="Arial"/>
        <family val="2"/>
      </rPr>
      <t>Instructions:</t>
    </r>
    <r>
      <rPr>
        <b/>
        <sz val="11"/>
        <color theme="1" tint="0.249977111117893"/>
        <rFont val="Arial"/>
        <family val="2"/>
      </rPr>
      <t xml:space="preserve"> </t>
    </r>
    <r>
      <rPr>
        <b/>
        <sz val="11"/>
        <color rgb="FF58B527"/>
        <rFont val="Arial"/>
        <family val="2"/>
      </rPr>
      <t>3 strategies</t>
    </r>
    <r>
      <rPr>
        <b/>
        <sz val="11"/>
        <color theme="1" tint="0.249977111117893"/>
        <rFont val="Arial"/>
        <family val="2"/>
      </rPr>
      <t xml:space="preserve"> are available for this credit and both strategies can be followed at the same time with </t>
    </r>
    <r>
      <rPr>
        <b/>
        <sz val="11"/>
        <color rgb="FF58B527"/>
        <rFont val="Arial"/>
        <family val="2"/>
      </rPr>
      <t>a maximum of 4 points available</t>
    </r>
    <r>
      <rPr>
        <b/>
        <sz val="11"/>
        <color theme="1" tint="0.249977111117893"/>
        <rFont val="Arial"/>
        <family val="2"/>
      </rPr>
      <t xml:space="preserve">. 
In Strategy A, choose to follow either the Prescriptive Path </t>
    </r>
    <r>
      <rPr>
        <b/>
        <sz val="11"/>
        <color rgb="FFFF0000"/>
        <rFont val="Arial"/>
        <family val="2"/>
      </rPr>
      <t>OR</t>
    </r>
    <r>
      <rPr>
        <b/>
        <sz val="11"/>
        <color theme="1" tint="0.249977111117893"/>
        <rFont val="Arial"/>
        <family val="2"/>
      </rPr>
      <t xml:space="preserve"> the Performance Path.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</si>
  <si>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reduce the need for HVAC systems and increase natural air flow and to encourage the installation of energy efficient HVAC systems.
</t>
    </r>
    <r>
      <rPr>
        <b/>
        <u/>
        <sz val="11"/>
        <color theme="1" tint="0.249977111117893"/>
        <rFont val="Arial"/>
        <family val="2"/>
      </rPr>
      <t>Reference:</t>
    </r>
    <r>
      <rPr>
        <sz val="11"/>
        <color theme="1" tint="0.249977111117893"/>
        <rFont val="Arial"/>
        <family val="2"/>
      </rPr>
      <t xml:space="preserve"> Page 32 of the LOTUS Small Buildings V1 Technical Manual
</t>
    </r>
    <r>
      <rPr>
        <b/>
        <u/>
        <sz val="11"/>
        <color theme="1" tint="0.249977111117893"/>
        <rFont val="Arial"/>
        <family val="2"/>
      </rPr>
      <t>Instructions:</t>
    </r>
    <r>
      <rPr>
        <b/>
        <sz val="11"/>
        <color theme="1" tint="0.249977111117893"/>
        <rFont val="Arial"/>
        <family val="2"/>
      </rPr>
      <t xml:space="preserve"> </t>
    </r>
    <r>
      <rPr>
        <b/>
        <sz val="11"/>
        <color rgb="FF58B527"/>
        <rFont val="Arial"/>
        <family val="2"/>
      </rPr>
      <t>2 strategies</t>
    </r>
    <r>
      <rPr>
        <b/>
        <sz val="11"/>
        <color theme="1" tint="0.249977111117893"/>
        <rFont val="Arial"/>
        <family val="2"/>
      </rPr>
      <t xml:space="preserve"> are available for this credit and both strategies can be followed at the same time with</t>
    </r>
    <r>
      <rPr>
        <b/>
        <sz val="11"/>
        <color rgb="FF58B527"/>
        <rFont val="Arial"/>
        <family val="2"/>
      </rPr>
      <t xml:space="preserve"> a maximum of 6 points available</t>
    </r>
    <r>
      <rPr>
        <b/>
        <sz val="11"/>
        <color theme="1" tint="0.249977111117893"/>
        <rFont val="Arial"/>
        <family val="2"/>
      </rPr>
      <t xml:space="preserve">. 
Inside each of these 2 strategies, choose to follow either the Prescriptive Path </t>
    </r>
    <r>
      <rPr>
        <b/>
        <sz val="11"/>
        <color rgb="FFFF0000"/>
        <rFont val="Arial"/>
        <family val="2"/>
      </rPr>
      <t>OR</t>
    </r>
    <r>
      <rPr>
        <b/>
        <sz val="11"/>
        <color theme="1" tint="0.249977111117893"/>
        <rFont val="Arial"/>
        <family val="2"/>
      </rPr>
      <t xml:space="preserve"> the Performance Path. Read all the instructions and complete the information in the light red-coloured cells.</t>
    </r>
  </si>
  <si>
    <t xml:space="preserve">To be compliant with the credit, occupied areas without air-conditioning must either: </t>
  </si>
  <si>
    <r>
      <rPr>
        <sz val="10"/>
        <rFont val="Calibri"/>
        <family val="2"/>
      </rPr>
      <t>•</t>
    </r>
    <r>
      <rPr>
        <sz val="10"/>
        <rFont val="Arial"/>
        <family val="2"/>
      </rPr>
      <t xml:space="preserve"> be equipped with normal ceiling or wall-mounted fans with a minimum density of 1 per 20 m</t>
    </r>
    <r>
      <rPr>
        <vertAlign val="superscript"/>
        <sz val="10"/>
        <rFont val="Arial"/>
        <family val="2"/>
      </rPr>
      <t>2</t>
    </r>
  </si>
  <si>
    <r>
      <rPr>
        <sz val="10"/>
        <rFont val="Calibri"/>
        <family val="2"/>
      </rPr>
      <t>•</t>
    </r>
    <r>
      <rPr>
        <sz val="10"/>
        <rFont val="Arial"/>
        <family val="2"/>
      </rPr>
      <t xml:space="preserve"> be equipped with HVLS fans (high-speed low-volume fans)</t>
    </r>
  </si>
  <si>
    <r>
      <rPr>
        <sz val="10"/>
        <rFont val="Calibri"/>
        <family val="2"/>
      </rPr>
      <t>•</t>
    </r>
    <r>
      <rPr>
        <sz val="10"/>
        <rFont val="Arial"/>
        <family val="2"/>
      </rPr>
      <t xml:space="preserve"> be designed with an effective cross ventilation in accordance with requirements in the Performance Path</t>
    </r>
  </si>
  <si>
    <t>Complete the following table for all the occupied spaces of the building:</t>
  </si>
  <si>
    <t>Space equipped with air-conditioning?</t>
  </si>
  <si>
    <t>Ventilation type</t>
  </si>
  <si>
    <t>Percentage of compliant occupied area without air-conditioning (%)</t>
  </si>
  <si>
    <t>For 1 point, 10% of the net occupied area is not served by an air-conditioning system
1 point for every additional 20% of net occupied area not served by an air-conditioning system (up to 70%)
For 6 points, 100% of the net occupied area is not served by an air-conditioning system</t>
  </si>
  <si>
    <t>Install lighting control devices for the building spaces</t>
  </si>
  <si>
    <t xml:space="preserve">Install lighting control devices for the lighting fixtures located in potentially daylit areas </t>
  </si>
  <si>
    <r>
      <rPr>
        <b/>
        <u/>
        <sz val="11"/>
        <color theme="1" tint="0.249977111117893"/>
        <rFont val="Arial"/>
        <family val="2"/>
      </rPr>
      <t>Reference:</t>
    </r>
    <r>
      <rPr>
        <sz val="11"/>
        <color theme="1" tint="0.249977111117893"/>
        <rFont val="Arial"/>
        <family val="2"/>
      </rPr>
      <t xml:space="preserve"> Page 119-125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</si>
  <si>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t>• Completed file 'LOTUS Calculator - OTTV calculation' including all calculations</t>
  </si>
  <si>
    <r>
      <rPr>
        <b/>
        <sz val="10"/>
        <rFont val="Arial"/>
        <family val="2"/>
      </rPr>
      <t xml:space="preserve">Strategy B1: Variable speed compressors </t>
    </r>
    <r>
      <rPr>
        <sz val="10"/>
        <rFont val="Arial"/>
        <family val="2"/>
      </rPr>
      <t xml:space="preserve">
Select air-conditioners systems equipped with variable speed compressors (often referred to as inverters for split-units) to ensure better part-load systems efficiency.  </t>
    </r>
  </si>
  <si>
    <r>
      <rPr>
        <b/>
        <sz val="10"/>
        <rFont val="Arial"/>
        <family val="2"/>
      </rPr>
      <t xml:space="preserve">Strategy B2: Energy efficient air-conditioners </t>
    </r>
    <r>
      <rPr>
        <sz val="10"/>
        <rFont val="Arial"/>
        <family val="2"/>
      </rPr>
      <t xml:space="preserve">
Select air conditioning systems that are labelled under the energy label developed by VNEEP and the Ministry of Industry and Trade. </t>
    </r>
  </si>
  <si>
    <t>For Strategy B1, submit all the documentation listed below at Certification Stage:</t>
  </si>
  <si>
    <t>For Strategy B2, submit all the documentation listed below at Certification Stage:</t>
  </si>
  <si>
    <r>
      <rPr>
        <b/>
        <sz val="10"/>
        <rFont val="Arial"/>
        <family val="2"/>
      </rPr>
      <t>Strategy B2: COP Improvement</t>
    </r>
    <r>
      <rPr>
        <sz val="10"/>
        <rFont val="Arial"/>
        <family val="2"/>
      </rPr>
      <t xml:space="preserve">
Select and install HVAC equipment whose COP values meet the minimum requirement values of Table below</t>
    </r>
  </si>
  <si>
    <t>ForStrategy B1, submit all the documentation listed below at Certification Stage:</t>
  </si>
  <si>
    <t>ForStrategy B2, submit all the documentation listed below at Certification Stage:</t>
  </si>
  <si>
    <t>Below are the provisional results of the project. These results are only indicative. 
Actual results will only be given after the submitted documentation has been assessed and the compliance of all the credits targeted has been verified.</t>
  </si>
  <si>
    <r>
      <rPr>
        <b/>
        <u/>
        <sz val="11"/>
        <color theme="1" tint="0.249977111117893"/>
        <rFont val="Arial"/>
        <family val="2"/>
      </rPr>
      <t>Aim:</t>
    </r>
    <r>
      <rPr>
        <sz val="11"/>
        <color theme="1" tint="0.249977111117893"/>
        <rFont val="Arial"/>
        <family val="2"/>
      </rPr>
      <t xml:space="preserve"> To encourage and recognise developments that use sustainable materials for building structure.
</t>
    </r>
    <r>
      <rPr>
        <b/>
        <u/>
        <sz val="11"/>
        <color theme="1" tint="0.249977111117893"/>
        <rFont val="Arial"/>
        <family val="2"/>
      </rPr>
      <t>Reference:</t>
    </r>
    <r>
      <rPr>
        <sz val="11"/>
        <color theme="1" tint="0.249977111117893"/>
        <rFont val="Arial"/>
        <family val="2"/>
      </rPr>
      <t xml:space="preserve"> Page 51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structure materials in the light red-coloured cells.</t>
    </r>
  </si>
  <si>
    <r>
      <rPr>
        <b/>
        <u/>
        <sz val="11"/>
        <color theme="1" tint="0.249977111117893"/>
        <rFont val="Arial"/>
        <family val="2"/>
      </rPr>
      <t>Aim:</t>
    </r>
    <r>
      <rPr>
        <sz val="11"/>
        <color theme="1" tint="0.249977111117893"/>
        <rFont val="Arial"/>
        <family val="2"/>
      </rPr>
      <t xml:space="preserve"> To encourage and recognise developments that use sustainable materials for building structure.
</t>
    </r>
    <r>
      <rPr>
        <b/>
        <u/>
        <sz val="11"/>
        <color theme="1" tint="0.249977111117893"/>
        <rFont val="Arial"/>
        <family val="2"/>
      </rPr>
      <t>Reference:</t>
    </r>
    <r>
      <rPr>
        <sz val="11"/>
        <color theme="1" tint="0.249977111117893"/>
        <rFont val="Arial"/>
        <family val="2"/>
      </rPr>
      <t xml:space="preserve"> Page 53 of the LOTUS Small Buildings V1 Technical Manual
</t>
    </r>
    <r>
      <rPr>
        <b/>
        <u/>
        <sz val="11"/>
        <color theme="1" tint="0.249977111117893"/>
        <rFont val="Arial"/>
        <family val="2"/>
      </rPr>
      <t>Instructions:</t>
    </r>
    <r>
      <rPr>
        <b/>
        <sz val="11"/>
        <color theme="1" tint="0.249977111117893"/>
        <rFont val="Arial"/>
        <family val="2"/>
      </rPr>
      <t xml:space="preserve"> Read all the instructions and complete the information on the non-structural walls materials in the light red-coloured cells.</t>
    </r>
  </si>
  <si>
    <r>
      <rPr>
        <b/>
        <u/>
        <sz val="11"/>
        <color theme="1" tint="0.249977111117893"/>
        <rFont val="Arial"/>
        <family val="2"/>
      </rPr>
      <t>Aim:</t>
    </r>
    <r>
      <rPr>
        <sz val="11"/>
        <color theme="1" tint="0.249977111117893"/>
        <rFont val="Arial"/>
        <family val="2"/>
      </rPr>
      <t xml:space="preserve"> To encourage and recognise developments that use sustainable materials for windows and doors.
</t>
    </r>
    <r>
      <rPr>
        <b/>
        <u/>
        <sz val="11"/>
        <color theme="1" tint="0.249977111117893"/>
        <rFont val="Arial"/>
        <family val="2"/>
      </rPr>
      <t>Reference:</t>
    </r>
    <r>
      <rPr>
        <sz val="11"/>
        <color theme="1" tint="0.249977111117893"/>
        <rFont val="Arial"/>
        <family val="2"/>
      </rPr>
      <t xml:space="preserve"> Page 55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windows and doors in the light red-coloured cells.</t>
    </r>
  </si>
  <si>
    <r>
      <rPr>
        <b/>
        <u/>
        <sz val="11"/>
        <color theme="1" tint="0.249977111117893"/>
        <rFont val="Arial"/>
        <family val="2"/>
      </rPr>
      <t>Aim:</t>
    </r>
    <r>
      <rPr>
        <sz val="11"/>
        <color theme="1" tint="0.249977111117893"/>
        <rFont val="Arial"/>
        <family val="2"/>
      </rPr>
      <t xml:space="preserve"> To encourage and recognise developments that use sustainable flooring materials.
</t>
    </r>
    <r>
      <rPr>
        <b/>
        <u/>
        <sz val="11"/>
        <color theme="1" tint="0.249977111117893"/>
        <rFont val="Arial"/>
        <family val="2"/>
      </rPr>
      <t>Reference:</t>
    </r>
    <r>
      <rPr>
        <sz val="11"/>
        <color theme="1" tint="0.249977111117893"/>
        <rFont val="Arial"/>
        <family val="2"/>
      </rPr>
      <t xml:space="preserve"> Page 57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flooring materials in the light red-coloured cells.</t>
    </r>
  </si>
  <si>
    <r>
      <rPr>
        <b/>
        <u/>
        <sz val="11"/>
        <color theme="1" tint="0.249977111117893"/>
        <rFont val="Arial"/>
        <family val="2"/>
      </rPr>
      <t>Aim:</t>
    </r>
    <r>
      <rPr>
        <sz val="11"/>
        <color theme="1" tint="0.249977111117893"/>
        <rFont val="Arial"/>
        <family val="2"/>
      </rPr>
      <t xml:space="preserve"> To encourage and recognise developments that use sustainable roofing materials.
</t>
    </r>
    <r>
      <rPr>
        <b/>
        <u/>
        <sz val="11"/>
        <color theme="1" tint="0.249977111117893"/>
        <rFont val="Arial"/>
        <family val="2"/>
      </rPr>
      <t>Reference:</t>
    </r>
    <r>
      <rPr>
        <sz val="11"/>
        <color theme="1" tint="0.249977111117893"/>
        <rFont val="Arial"/>
        <family val="2"/>
      </rPr>
      <t xml:space="preserve"> Page 59 of the LOTUS Small Buildings V1 Technical Manual
</t>
    </r>
    <r>
      <rPr>
        <b/>
        <u/>
        <sz val="11"/>
        <color theme="1" tint="0.249977111117893"/>
        <rFont val="Arial"/>
        <family val="2"/>
      </rPr>
      <t>Instructions:</t>
    </r>
    <r>
      <rPr>
        <b/>
        <sz val="11"/>
        <color theme="1" tint="0.249977111117893"/>
        <rFont val="Arial"/>
        <family val="2"/>
      </rPr>
      <t xml:space="preserve"> Read all the instructions and complete the information on the roofing materials in the light red-coloured cells.</t>
    </r>
  </si>
  <si>
    <r>
      <rPr>
        <b/>
        <u/>
        <sz val="11"/>
        <color theme="1" tint="0.249977111117893"/>
        <rFont val="Arial"/>
        <family val="2"/>
      </rPr>
      <t>Aim:</t>
    </r>
    <r>
      <rPr>
        <sz val="11"/>
        <color theme="1" tint="0.249977111117893"/>
        <rFont val="Arial"/>
        <family val="2"/>
      </rPr>
      <t xml:space="preserve"> To encourage and recognise developments that use sustainable materials for furniture.
</t>
    </r>
    <r>
      <rPr>
        <b/>
        <u/>
        <sz val="11"/>
        <color theme="1" tint="0.249977111117893"/>
        <rFont val="Arial"/>
        <family val="2"/>
      </rPr>
      <t>Reference:</t>
    </r>
    <r>
      <rPr>
        <sz val="11"/>
        <color theme="1" tint="0.249977111117893"/>
        <rFont val="Arial"/>
        <family val="2"/>
      </rPr>
      <t xml:space="preserve"> Page 61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furniture items in the light red-coloured cells.</t>
    </r>
  </si>
  <si>
    <r>
      <rPr>
        <b/>
        <u/>
        <sz val="11"/>
        <color theme="1" tint="0.249977111117893"/>
        <rFont val="Arial"/>
        <family val="2"/>
      </rPr>
      <t>Aim:</t>
    </r>
    <r>
      <rPr>
        <sz val="11"/>
        <color theme="1" tint="0.249977111117893"/>
        <rFont val="Arial"/>
        <family val="2"/>
      </rPr>
      <t xml:space="preserve"> To ensure the provision of enough fresh air to maintain good indoor air quality during occupancy.
</t>
    </r>
    <r>
      <rPr>
        <b/>
        <u/>
        <sz val="11"/>
        <color theme="1" tint="0.249977111117893"/>
        <rFont val="Arial"/>
        <family val="2"/>
      </rPr>
      <t>Reference:</t>
    </r>
    <r>
      <rPr>
        <sz val="11"/>
        <color theme="1" tint="0.249977111117893"/>
        <rFont val="Arial"/>
        <family val="2"/>
      </rPr>
      <t xml:space="preserve"> Page 65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fresh air supply in the light red-coloured cells.</t>
    </r>
  </si>
  <si>
    <t>Click on the links on 
the right to navigate 
to other H&amp;C credits</t>
  </si>
  <si>
    <r>
      <rPr>
        <b/>
        <sz val="10"/>
        <rFont val="Arial"/>
        <family val="2"/>
      </rPr>
      <t>Strategy A: Paints and coatings</t>
    </r>
    <r>
      <rPr>
        <sz val="10"/>
        <rFont val="Arial"/>
        <family val="2"/>
      </rPr>
      <t xml:space="preserve">
Specify and install low-VOC emission paints and coatings </t>
    </r>
  </si>
  <si>
    <r>
      <rPr>
        <b/>
        <sz val="10"/>
        <rFont val="Arial"/>
        <family val="2"/>
      </rPr>
      <t>Strategy B: Adhesives and sealants</t>
    </r>
    <r>
      <rPr>
        <sz val="10"/>
        <rFont val="Arial"/>
        <family val="2"/>
      </rPr>
      <t xml:space="preserve">
Specify and install low-VOC emission adhesives and sealants</t>
    </r>
  </si>
  <si>
    <r>
      <rPr>
        <b/>
        <sz val="10"/>
        <rFont val="Arial"/>
        <family val="2"/>
      </rPr>
      <t>Strategy C: Floorings</t>
    </r>
    <r>
      <rPr>
        <sz val="10"/>
        <rFont val="Arial"/>
        <family val="2"/>
      </rPr>
      <t xml:space="preserve">
Specify and install low-VOC emission floorings</t>
    </r>
  </si>
  <si>
    <r>
      <rPr>
        <b/>
        <sz val="10"/>
        <rFont val="Arial"/>
        <family val="2"/>
      </rPr>
      <t>Strategy D: Wood furniture</t>
    </r>
    <r>
      <rPr>
        <sz val="10"/>
        <rFont val="Arial"/>
        <family val="2"/>
      </rPr>
      <t xml:space="preserve">
Specify and install low-formaldehyde emission wood furniture</t>
    </r>
  </si>
  <si>
    <r>
      <rPr>
        <b/>
        <sz val="10"/>
        <rFont val="Arial"/>
        <family val="2"/>
      </rPr>
      <t>Strategy E: Ceilings, partitions and insulation</t>
    </r>
    <r>
      <rPr>
        <sz val="10"/>
        <rFont val="Arial"/>
        <family val="2"/>
      </rPr>
      <t xml:space="preserve">
Specify and install low-VOC emission ceiling, partition and insulation products</t>
    </r>
  </si>
  <si>
    <t>• are certified as low VOC products by any internationally or regionally recognised authorities/labels (e.g. Singapore Green Label, GreenGuard, Global Green Tag, Cradle to Cradle, etc.);</t>
  </si>
  <si>
    <t xml:space="preserve">• or, have a VOC content lower than the limits set by any internationally or regionally recognised authorities/labels. In this case, the VOC content of the products should appear either on manufacturer’s published data or on laboratory test results following relevant test methods such as: US EPA Reference Method 24, EN 16516, ASTM D6886, etc. </t>
  </si>
  <si>
    <t>• or, are inherently non-emitting VOC (stone, ceramics, powder-coated metals, plated metals or anodized metals, glass, concrete, clay brick, and unfinished/untreated solid wood, etc.)</t>
  </si>
  <si>
    <t xml:space="preserve">Install only low-VOC emission interior paints and coatings. </t>
  </si>
  <si>
    <t>Only interior paints and coatings installed by the project are considered in this credit.</t>
  </si>
  <si>
    <t>Low-VOC emission product?</t>
  </si>
  <si>
    <t>• For each low-VOC product, evidence showing that the products installed are low-VOC products such as manufacturer’s published data, certificate, test reports, etc.</t>
  </si>
  <si>
    <t>• Evidence showing that the low-VOC products have been installed such as invoices, receipts, delivery notes, photographs, etc.</t>
  </si>
  <si>
    <t xml:space="preserve">Install only low-VOC emission interior adhesives and sealants. </t>
  </si>
  <si>
    <t>Only interior adhesives and sealants installed by the project are considered in this credit.</t>
  </si>
  <si>
    <t>Strategy C: Floorings</t>
  </si>
  <si>
    <t xml:space="preserve">Install only low-VOC emission flooring products and systems. </t>
  </si>
  <si>
    <t>Flooring systems such as ceramic tiles, stone, rubber, self-leveling compounds, polished concrete, timber, etc. are exempted and do not need to justify a low VOC content.</t>
  </si>
  <si>
    <t>However, when finishing products are used on these types of flooring systems, the finishing products have to be low VOC products.</t>
  </si>
  <si>
    <t>Complete the table below with information on all the flooring systems (including the finishing products) installed by the project:</t>
  </si>
  <si>
    <t>Type of flooring product</t>
  </si>
  <si>
    <t>All floorings compliant?</t>
  </si>
  <si>
    <t>Strategy D: Wood Furniture</t>
  </si>
  <si>
    <t>Select and install wood furniture that reduce exposure to formaldehyde among the following categories:</t>
  </si>
  <si>
    <t>• wood furniture which do not exceed a concentration limit of 0.05 ppm of formaldehyde (0.06 mg/m2.h when expressed as emission rate)</t>
  </si>
  <si>
    <t>• wood furniture with inherently non-emitting formaldehyde components (unfinished/untreated solid wood)</t>
  </si>
  <si>
    <t>• wood furniture which is completely finished off-site and contains no urea-formaldehyde (UF) resins nor phenol-formaldehyde (PF) resins</t>
  </si>
  <si>
    <t>• wood furniture classified as U.L.E.F. (ultra-low-emitting formaldehyde), N.A.F. (no added formaldehyde) or other</t>
  </si>
  <si>
    <t xml:space="preserve">• salvaged and reused wood furniture </t>
  </si>
  <si>
    <t>Also, use adhesives with no added urea-formaldehyde to fabricate furniture assemblies.</t>
  </si>
  <si>
    <t>Wood furniture using composite wood products (such as medium density fiberboard, particleboard, plywood, etc.) should be selected very carefully.</t>
  </si>
  <si>
    <t>Products containing urea-formaldehyde (UF) resin or phenol-formaldehyde (PF) resin should be avoided.</t>
  </si>
  <si>
    <t>Complete the table below with information on all the different wood furniture installed by the project:</t>
  </si>
  <si>
    <t>• For each low-formaldehyde product, evidence showing that the products installed are low-formaldehyde products such as manufacturer’s published data, certificate, test reports, etc.</t>
  </si>
  <si>
    <t>• Evidence showing that the low-formaldehyde products have been installed such as invoices, receipts, delivery notes, photographs, etc.</t>
  </si>
  <si>
    <t>Strategy E: Ceilings, partitions and insulation</t>
  </si>
  <si>
    <t>Install only low-VOC emission ceiling, partition and insulation products and systems.</t>
  </si>
  <si>
    <t>Thermal and acoustic insulation should be considered in this strategy but not HVAC ductwork insulation.</t>
  </si>
  <si>
    <t>Complete the table below with information on all the ceiling, partition and insulation products installed by the project:</t>
  </si>
  <si>
    <t>All ceilings, partitions and insulation compliant ?</t>
  </si>
  <si>
    <t>Are considered as low VOC products in LOTUS Small Buildings, the products which either:</t>
  </si>
  <si>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minimize the negative impacts of volatile organic compounds (VOCs) &amp; formaldehydes from building materials on occupant’s health.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72 of the LOTUS Small Buildings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943634"/>
        <rFont val="Arial"/>
        <family val="2"/>
      </rPr>
      <t>5 strategies</t>
    </r>
    <r>
      <rPr>
        <b/>
        <sz val="11"/>
        <color theme="1" tint="0.249977111117893"/>
        <rFont val="Arial"/>
        <family val="2"/>
      </rPr>
      <t xml:space="preserve"> are available for this credit and and they can all be followed at the same time with a </t>
    </r>
    <r>
      <rPr>
        <b/>
        <sz val="11"/>
        <color rgb="FF943634"/>
        <rFont val="Arial"/>
        <family val="2"/>
      </rPr>
      <t>maximum of 3 points available</t>
    </r>
    <r>
      <rPr>
        <b/>
        <sz val="11"/>
        <color theme="1" tint="0.249977111117893"/>
        <rFont val="Arial"/>
        <family val="2"/>
      </rPr>
      <t>.
Read all the instructions and complete the information in the light red-coloured cells.</t>
    </r>
  </si>
  <si>
    <t>H-4 Low-VOC Emissions Products</t>
  </si>
  <si>
    <r>
      <rPr>
        <b/>
        <u/>
        <sz val="11"/>
        <color theme="1" tint="0.249977111117893"/>
        <rFont val="Arial"/>
        <family val="2"/>
      </rPr>
      <t>Aim:</t>
    </r>
    <r>
      <rPr>
        <sz val="11"/>
        <color theme="1" tint="0.249977111117893"/>
        <rFont val="Arial"/>
        <family val="2"/>
      </rPr>
      <t xml:space="preserve"> To reduce moisture and odours from wet area by making sure to install exhaust fans with a sufficient capacity. 
</t>
    </r>
    <r>
      <rPr>
        <b/>
        <u/>
        <sz val="11"/>
        <color theme="1" tint="0.249977111117893"/>
        <rFont val="Arial"/>
        <family val="2"/>
      </rPr>
      <t>Reference:</t>
    </r>
    <r>
      <rPr>
        <sz val="11"/>
        <color theme="1" tint="0.249977111117893"/>
        <rFont val="Arial"/>
        <family val="2"/>
      </rPr>
      <t xml:space="preserve"> Page 68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</si>
  <si>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regulate indoor air quality via CO</t>
    </r>
    <r>
      <rPr>
        <vertAlign val="subscript"/>
        <sz val="11"/>
        <color theme="1" tint="0.249977111117893"/>
        <rFont val="Arial"/>
        <family val="2"/>
      </rPr>
      <t>2</t>
    </r>
    <r>
      <rPr>
        <sz val="11"/>
        <color theme="1" tint="0.249977111117893"/>
        <rFont val="Arial"/>
        <family val="2"/>
      </rPr>
      <t xml:space="preserve"> monitoring. 
</t>
    </r>
    <r>
      <rPr>
        <b/>
        <u/>
        <sz val="11"/>
        <color theme="1" tint="0.249977111117893"/>
        <rFont val="Arial"/>
        <family val="2"/>
      </rPr>
      <t>Reference:</t>
    </r>
    <r>
      <rPr>
        <sz val="11"/>
        <color theme="1" tint="0.249977111117893"/>
        <rFont val="Arial"/>
        <family val="2"/>
      </rPr>
      <t xml:space="preserve"> Page 70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</si>
  <si>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encourage building designs which maximize the use of daylight.
</t>
    </r>
    <r>
      <rPr>
        <b/>
        <u/>
        <sz val="11"/>
        <color theme="1" tint="0.249977111117893"/>
        <rFont val="Arial"/>
        <family val="2"/>
      </rPr>
      <t>Reference:</t>
    </r>
    <r>
      <rPr>
        <sz val="11"/>
        <color theme="1" tint="0.249977111117893"/>
        <rFont val="Arial"/>
        <family val="2"/>
      </rPr>
      <t xml:space="preserve"> Page 75 of the LOTUS Small Buildings V1 Technical Manual
</t>
    </r>
    <r>
      <rPr>
        <b/>
        <u/>
        <sz val="11"/>
        <color theme="1" tint="0.249977111117893"/>
        <rFont val="Arial"/>
        <family val="2"/>
      </rPr>
      <t>Instructions:</t>
    </r>
    <r>
      <rPr>
        <b/>
        <sz val="11"/>
        <color theme="1" tint="0.249977111117893"/>
        <rFont val="Arial"/>
        <family val="2"/>
      </rPr>
      <t xml:space="preserve"> Choose to follow either the Prescriptive Path </t>
    </r>
    <r>
      <rPr>
        <b/>
        <sz val="11"/>
        <color rgb="FFFF0000"/>
        <rFont val="Arial"/>
        <family val="2"/>
      </rPr>
      <t>OR</t>
    </r>
    <r>
      <rPr>
        <b/>
        <sz val="11"/>
        <color theme="1" tint="0.249977111117893"/>
        <rFont val="Arial"/>
        <family val="2"/>
      </rPr>
      <t xml:space="preserve"> the Performance Path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</si>
  <si>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increase the occupants connection to the outdoors by ensuring direct line of sight to the exterior.
</t>
    </r>
    <r>
      <rPr>
        <b/>
        <u/>
        <sz val="11"/>
        <color theme="1" tint="0.249977111117893"/>
        <rFont val="Arial"/>
        <family val="2"/>
      </rPr>
      <t>Reference:</t>
    </r>
    <r>
      <rPr>
        <sz val="11"/>
        <color theme="1" tint="0.249977111117893"/>
        <rFont val="Arial"/>
        <family val="2"/>
      </rPr>
      <t xml:space="preserve"> Page 78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</si>
  <si>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Reference:</t>
    </r>
    <r>
      <rPr>
        <sz val="11"/>
        <color theme="1" tint="0.249977111117893"/>
        <rFont val="Arial"/>
        <family val="2"/>
      </rPr>
      <t xml:space="preserve"> Page 133-139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</si>
  <si>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encourage development to occur in suitable locations that will reduce harm on the natural environment and promote the health and wellbeing of occupants.
</t>
    </r>
    <r>
      <rPr>
        <b/>
        <u/>
        <sz val="11"/>
        <color theme="1" tint="0.249977111117893"/>
        <rFont val="Arial"/>
        <family val="2"/>
      </rPr>
      <t>Reference:</t>
    </r>
    <r>
      <rPr>
        <sz val="11"/>
        <color theme="1" tint="0.249977111117893"/>
        <rFont val="Arial"/>
        <family val="2"/>
      </rPr>
      <t xml:space="preserve"> Page 84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rgb="FF76923C"/>
        <rFont val="Arial"/>
        <family val="2"/>
      </rPr>
      <t>4 strategies</t>
    </r>
    <r>
      <rPr>
        <b/>
        <sz val="11"/>
        <color theme="1" tint="0.249977111117893"/>
        <rFont val="Arial"/>
        <family val="2"/>
      </rPr>
      <t xml:space="preserve"> are available for this credit and and they can all be followed at the same time.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</si>
  <si>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analyse and consider the site layout in order to preserve existing vegetation and minimise building footprint.
</t>
    </r>
    <r>
      <rPr>
        <b/>
        <u/>
        <sz val="11"/>
        <color theme="1" tint="0.249977111117893"/>
        <rFont val="Arial"/>
        <family val="2"/>
      </rPr>
      <t>Reference:</t>
    </r>
    <r>
      <rPr>
        <sz val="11"/>
        <color theme="1" tint="0.249977111117893"/>
        <rFont val="Arial"/>
        <family val="2"/>
      </rPr>
      <t xml:space="preserve"> Page 88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rgb="FF76923C"/>
        <rFont val="Arial"/>
        <family val="2"/>
      </rPr>
      <t>2 strategies</t>
    </r>
    <r>
      <rPr>
        <b/>
        <sz val="11"/>
        <color theme="1" tint="0.249977111117893"/>
        <rFont val="Arial"/>
        <family val="2"/>
      </rPr>
      <t xml:space="preserve"> are available for this credit and both strategies can be followed at the same time.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</si>
  <si>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restore site areas into habitat that can nourish and sustain biodiversity
</t>
    </r>
    <r>
      <rPr>
        <b/>
        <u/>
        <sz val="11"/>
        <color theme="1" tint="0.249977111117893"/>
        <rFont val="Arial"/>
        <family val="2"/>
      </rPr>
      <t>Reference:</t>
    </r>
    <r>
      <rPr>
        <sz val="11"/>
        <color theme="1" tint="0.249977111117893"/>
        <rFont val="Arial"/>
        <family val="2"/>
      </rPr>
      <t xml:space="preserve"> Page 91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rgb="FF76923C"/>
        <rFont val="Arial"/>
        <family val="2"/>
      </rPr>
      <t>2 strategies</t>
    </r>
    <r>
      <rPr>
        <b/>
        <sz val="11"/>
        <color theme="1" tint="0.249977111117893"/>
        <rFont val="Arial"/>
        <family val="2"/>
      </rPr>
      <t xml:space="preserve"> are available for this credit and both strategies can be followed at the same time </t>
    </r>
    <r>
      <rPr>
        <b/>
        <sz val="11"/>
        <color rgb="FF76923C"/>
        <rFont val="Arial"/>
        <family val="2"/>
      </rPr>
      <t>with a maximum of 2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</si>
  <si>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reduce the urban heat island effect from the proposed development.
</t>
    </r>
    <r>
      <rPr>
        <b/>
        <u/>
        <sz val="11"/>
        <color theme="1" tint="0.249977111117893"/>
        <rFont val="Arial"/>
        <family val="2"/>
      </rPr>
      <t>Reference:</t>
    </r>
    <r>
      <rPr>
        <sz val="11"/>
        <color theme="1" tint="0.249977111117893"/>
        <rFont val="Arial"/>
        <family val="2"/>
      </rPr>
      <t xml:space="preserve"> Page 94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</si>
  <si>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improve perviousness of site surfaces, thus reduce temporary load to municipal drainage system and improve groundwater recharge.
</t>
    </r>
    <r>
      <rPr>
        <b/>
        <u/>
        <sz val="11"/>
        <color theme="1" tint="0.249977111117893"/>
        <rFont val="Arial"/>
        <family val="2"/>
      </rPr>
      <t>Reference:</t>
    </r>
    <r>
      <rPr>
        <sz val="11"/>
        <color theme="1" tint="0.249977111117893"/>
        <rFont val="Arial"/>
        <family val="2"/>
      </rPr>
      <t xml:space="preserve"> Page 97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 xml:space="preserve">Read all the instructions and complete the information on storm water runoff in the light red-coloured cells. </t>
    </r>
  </si>
  <si>
    <r>
      <rPr>
        <b/>
        <u/>
        <sz val="11"/>
        <color theme="1" tint="0.249977111117893"/>
        <rFont val="Arial"/>
        <family val="2"/>
      </rPr>
      <t>Aim:</t>
    </r>
    <r>
      <rPr>
        <sz val="11"/>
        <color theme="1" tint="0.249977111117893"/>
        <rFont val="Arial"/>
        <family val="2"/>
      </rPr>
      <t xml:space="preserve"> To encourage flood resistant designs and building features to adapt to climate change.
</t>
    </r>
    <r>
      <rPr>
        <b/>
        <u/>
        <sz val="11"/>
        <color theme="1" tint="0.249977111117893"/>
        <rFont val="Arial"/>
        <family val="2"/>
      </rPr>
      <t>Reference:</t>
    </r>
    <r>
      <rPr>
        <sz val="11"/>
        <color theme="1" tint="0.249977111117893"/>
        <rFont val="Arial"/>
        <family val="2"/>
      </rPr>
      <t xml:space="preserve"> Page 99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 xml:space="preserve">Read all the instructions and complete the information in the light red-coloured cells. </t>
    </r>
  </si>
  <si>
    <r>
      <rPr>
        <b/>
        <u/>
        <sz val="11"/>
        <color theme="1" tint="0.249977111117893"/>
        <rFont val="Arial"/>
        <family val="2"/>
      </rPr>
      <t>Aim:</t>
    </r>
    <r>
      <rPr>
        <sz val="11"/>
        <color theme="1" tint="0.249977111117893"/>
        <rFont val="Arial"/>
        <family val="2"/>
      </rPr>
      <t xml:space="preserve"> To encourage the selection and use of refrigerants that do not increase global warming nor damage the ozone layer.
</t>
    </r>
    <r>
      <rPr>
        <b/>
        <u/>
        <sz val="11"/>
        <color theme="1" tint="0.249977111117893"/>
        <rFont val="Arial"/>
        <family val="2"/>
      </rPr>
      <t>Reference:</t>
    </r>
    <r>
      <rPr>
        <sz val="11"/>
        <color theme="1" tint="0.249977111117893"/>
        <rFont val="Arial"/>
        <family val="2"/>
      </rPr>
      <t xml:space="preserve"> Page 101 of the LOTUS Small Buildings V1 Technical Manual
</t>
    </r>
    <r>
      <rPr>
        <b/>
        <u/>
        <sz val="11"/>
        <color theme="1" tint="0.249977111117893"/>
        <rFont val="Arial"/>
        <family val="2"/>
      </rPr>
      <t>Instructions:</t>
    </r>
    <r>
      <rPr>
        <b/>
        <sz val="11"/>
        <color theme="1" tint="0.249977111117893"/>
        <rFont val="Arial"/>
        <family val="2"/>
      </rPr>
      <t xml:space="preserve"> Choose to follow either the Prescriptive Path </t>
    </r>
    <r>
      <rPr>
        <b/>
        <sz val="11"/>
        <color rgb="FFFF0000"/>
        <rFont val="Arial"/>
        <family val="2"/>
      </rPr>
      <t>OR</t>
    </r>
    <r>
      <rPr>
        <b/>
        <sz val="11"/>
        <color theme="1" tint="0.249977111117893"/>
        <rFont val="Arial"/>
        <family val="2"/>
      </rPr>
      <t xml:space="preserve"> the Performance Path
Read all the instructions and complete the information in the light red-coloured cells. </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</si>
  <si>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implement waste sorting and facilitate the recycling and reuse of waste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102 of the LOTUS Small Buildings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Read all the instructions and complete the information in the light red-coloured cells. </t>
    </r>
  </si>
  <si>
    <r>
      <rPr>
        <b/>
        <u/>
        <sz val="11"/>
        <color theme="1" tint="0.249977111117893"/>
        <rFont val="Arial"/>
        <family val="2"/>
      </rPr>
      <t>Aim:</t>
    </r>
    <r>
      <rPr>
        <sz val="11"/>
        <color theme="1" tint="0.249977111117893"/>
        <rFont val="Arial"/>
        <family val="2"/>
      </rPr>
      <t xml:space="preserve"> To ensure all sustainable design aspects are identified and planned for at the earliest stage of the project.
</t>
    </r>
    <r>
      <rPr>
        <b/>
        <u/>
        <sz val="11"/>
        <color theme="1" tint="0.249977111117893"/>
        <rFont val="Arial"/>
        <family val="2"/>
      </rPr>
      <t>Reference:</t>
    </r>
    <r>
      <rPr>
        <sz val="11"/>
        <color theme="1" tint="0.249977111117893"/>
        <rFont val="Arial"/>
        <family val="2"/>
      </rPr>
      <t xml:space="preserve"> Page 105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Eco-Charrette in the light red-coloured cells.</t>
    </r>
  </si>
  <si>
    <r>
      <rPr>
        <b/>
        <u/>
        <sz val="11"/>
        <color theme="1" tint="0.249977111117893"/>
        <rFont val="Arial"/>
        <family val="2"/>
      </rPr>
      <t>Aim:</t>
    </r>
    <r>
      <rPr>
        <sz val="11"/>
        <color theme="1" tint="0.249977111117893"/>
        <rFont val="Arial"/>
        <family val="2"/>
      </rPr>
      <t xml:space="preserve"> To improve the construction practices on development sites to minimize the impact of construction on the local environment and surrounding land users.
</t>
    </r>
    <r>
      <rPr>
        <b/>
        <u/>
        <sz val="11"/>
        <color theme="1" tint="0.249977111117893"/>
        <rFont val="Arial"/>
        <family val="2"/>
      </rPr>
      <t>Reference:</t>
    </r>
    <r>
      <rPr>
        <sz val="11"/>
        <color theme="1" tint="0.249977111117893"/>
        <rFont val="Arial"/>
        <family val="2"/>
      </rPr>
      <t xml:space="preserve"> Page 107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rgb="FF984806"/>
        <rFont val="Arial"/>
        <family val="2"/>
      </rPr>
      <t>5 strategies</t>
    </r>
    <r>
      <rPr>
        <b/>
        <sz val="11"/>
        <color theme="1" tint="0.249977111117893"/>
        <rFont val="Arial"/>
        <family val="2"/>
      </rPr>
      <t xml:space="preserve"> are available for this credit and they can all be followed at the same time with </t>
    </r>
    <r>
      <rPr>
        <b/>
        <sz val="11"/>
        <color rgb="FF984806"/>
        <rFont val="Arial"/>
        <family val="2"/>
      </rPr>
      <t>a maximum of 3 points available</t>
    </r>
    <r>
      <rPr>
        <b/>
        <sz val="11"/>
        <color theme="1" tint="0.249977111117893"/>
        <rFont val="Arial"/>
        <family val="2"/>
      </rPr>
      <t>. 
Read all the instructions and complete the relevant information in the light red-coloured cells.</t>
    </r>
  </si>
  <si>
    <r>
      <rPr>
        <b/>
        <u/>
        <sz val="11"/>
        <color theme="1" tint="0.249977111117893"/>
        <rFont val="Arial"/>
        <family val="2"/>
      </rPr>
      <t>Aim:</t>
    </r>
    <r>
      <rPr>
        <sz val="11"/>
        <color theme="1" tint="0.249977111117893"/>
        <rFont val="Arial"/>
        <family val="2"/>
      </rPr>
      <t xml:space="preserve"> To ensure that the completed development is managed in a sustainable manner.
</t>
    </r>
    <r>
      <rPr>
        <b/>
        <u/>
        <sz val="11"/>
        <color theme="1" tint="0.249977111117893"/>
        <rFont val="Arial"/>
        <family val="2"/>
      </rPr>
      <t>Reference:</t>
    </r>
    <r>
      <rPr>
        <sz val="11"/>
        <color theme="1" tint="0.249977111117893"/>
        <rFont val="Arial"/>
        <family val="2"/>
      </rPr>
      <t xml:space="preserve"> Page 110 of the LOTUS Small Buildings V1 Technical Manual
</t>
    </r>
    <r>
      <rPr>
        <b/>
        <u/>
        <sz val="11"/>
        <color theme="1" tint="0.249977111117893"/>
        <rFont val="Arial"/>
        <family val="2"/>
      </rPr>
      <t>Instructions:</t>
    </r>
    <r>
      <rPr>
        <b/>
        <sz val="11"/>
        <color theme="1" tint="0.249977111117893"/>
        <rFont val="Arial"/>
        <family val="2"/>
      </rPr>
      <t xml:space="preserve"> </t>
    </r>
    <r>
      <rPr>
        <b/>
        <sz val="11"/>
        <color rgb="FF984806"/>
        <rFont val="Arial"/>
        <family val="2"/>
      </rPr>
      <t xml:space="preserve">3 strategies </t>
    </r>
    <r>
      <rPr>
        <b/>
        <sz val="11"/>
        <color theme="1" tint="0.249977111117893"/>
        <rFont val="Arial"/>
        <family val="2"/>
      </rPr>
      <t>are available for this credit and they can all be followed at the same time.
Read all the instructions and complete the relevant information in the light red-coloured cells.</t>
    </r>
  </si>
  <si>
    <r>
      <rPr>
        <b/>
        <u/>
        <sz val="11"/>
        <color theme="1" tint="0.249977111117893"/>
        <rFont val="Arial"/>
        <family val="2"/>
      </rPr>
      <t>Aim:</t>
    </r>
    <r>
      <rPr>
        <sz val="11"/>
        <color theme="1" tint="0.249977111117893"/>
        <rFont val="Arial"/>
        <family val="2"/>
      </rPr>
      <t xml:space="preserve"> To promote access for people with disabilities to every portion of the building. 
</t>
    </r>
    <r>
      <rPr>
        <b/>
        <u/>
        <sz val="11"/>
        <color theme="1" tint="0.249977111117893"/>
        <rFont val="Arial"/>
        <family val="2"/>
      </rPr>
      <t>Reference:</t>
    </r>
    <r>
      <rPr>
        <sz val="11"/>
        <color theme="1" tint="0.249977111117893"/>
        <rFont val="Arial"/>
        <family val="2"/>
      </rPr>
      <t xml:space="preserve"> Page 113 of the LOTUS Small Buildings V1 Technical Manual
</t>
    </r>
    <r>
      <rPr>
        <b/>
        <u/>
        <sz val="11"/>
        <color theme="1" tint="0.249977111117893"/>
        <rFont val="Arial"/>
        <family val="2"/>
      </rPr>
      <t>Instructions:</t>
    </r>
    <r>
      <rPr>
        <b/>
        <sz val="11"/>
        <color theme="1" tint="0.249977111117893"/>
        <rFont val="Arial"/>
        <family val="2"/>
      </rPr>
      <t xml:space="preserve"> Read all the instructions and complete the relevant information in the light red-coloured cells.</t>
    </r>
  </si>
  <si>
    <r>
      <rPr>
        <b/>
        <u/>
        <sz val="11"/>
        <color theme="1" tint="0.249977111117893"/>
        <rFont val="Arial"/>
        <family val="2"/>
      </rPr>
      <t>Reference:</t>
    </r>
    <r>
      <rPr>
        <sz val="11"/>
        <color theme="1" tint="0.249977111117893"/>
        <rFont val="Arial"/>
        <family val="2"/>
      </rPr>
      <t xml:space="preserve"> Page 140-143 of the LOTUS Small Buildings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</si>
  <si>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t>Please make sure the checklist below is completed before sending submissions for Pre-assessment.</t>
  </si>
  <si>
    <t>Please make sure the checklist below is completed before sending submissions for Certification.</t>
  </si>
  <si>
    <t>8th Floor, Hanoi Creative City Building, 01 Luong Yen, Hai Ba Trung, Hanoi, Vietnam</t>
  </si>
  <si>
    <r>
      <t>Area of the space (m</t>
    </r>
    <r>
      <rPr>
        <vertAlign val="superscript"/>
        <sz val="10"/>
        <color indexed="9"/>
        <rFont val="Arial"/>
        <family val="2"/>
      </rPr>
      <t>2</t>
    </r>
    <r>
      <rPr>
        <sz val="10"/>
        <color indexed="9"/>
        <rFont val="Arial"/>
        <family val="2"/>
      </rPr>
      <t>)</t>
    </r>
  </si>
  <si>
    <t>Design occupied spaces with a daylit zone area of more than 75% of their floor area</t>
  </si>
  <si>
    <t>Last updated on the 07/12/2018</t>
  </si>
  <si>
    <r>
      <t>Fan density 
(# / 20m</t>
    </r>
    <r>
      <rPr>
        <vertAlign val="superscript"/>
        <sz val="10"/>
        <color indexed="9"/>
        <rFont val="Arial"/>
        <family val="2"/>
      </rPr>
      <t>2</t>
    </r>
    <r>
      <rPr>
        <sz val="10"/>
        <color indexed="9"/>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</si>
</sst>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
    <numFmt numFmtId="167" formatCode="[$-409]mmmm\-yy;@"/>
    <numFmt numFmtId="168" formatCode="#,##0.000"/>
    <numFmt numFmtId="169" formatCode="0.000"/>
  </numFmts>
  <fonts count="192" x14ac:knownFonts="1">
    <font>
      <sz val="11"/>
      <color theme="1"/>
      <name val="Calibri"/>
      <family val="2"/>
      <scheme val="minor"/>
    </font>
    <font>
      <sz val="11"/>
      <color theme="1"/>
      <name val="Calibri"/>
      <family val="2"/>
      <scheme val="minor"/>
    </font>
    <font>
      <sz val="10"/>
      <name val="Arial"/>
      <family val="2"/>
    </font>
    <font>
      <b/>
      <sz val="14"/>
      <name val="Arial"/>
      <family val="2"/>
    </font>
    <font>
      <b/>
      <sz val="11"/>
      <color theme="0"/>
      <name val="Arial"/>
      <family val="2"/>
    </font>
    <font>
      <b/>
      <sz val="12"/>
      <color theme="0"/>
      <name val="Arial"/>
      <family val="2"/>
    </font>
    <font>
      <b/>
      <sz val="11"/>
      <name val="Arial"/>
      <family val="2"/>
    </font>
    <font>
      <sz val="10"/>
      <color rgb="FFFF0000"/>
      <name val="Arial"/>
      <family val="2"/>
    </font>
    <font>
      <sz val="11"/>
      <name val="Arial"/>
      <family val="2"/>
    </font>
    <font>
      <b/>
      <sz val="18"/>
      <color indexed="9"/>
      <name val="Arial"/>
      <family val="2"/>
    </font>
    <font>
      <b/>
      <sz val="12"/>
      <color indexed="9"/>
      <name val="Arial"/>
      <family val="2"/>
    </font>
    <font>
      <sz val="10"/>
      <color theme="0"/>
      <name val="Arial"/>
      <family val="2"/>
    </font>
    <font>
      <vertAlign val="superscript"/>
      <sz val="10"/>
      <color theme="0"/>
      <name val="Arial"/>
      <family val="2"/>
    </font>
    <font>
      <sz val="10"/>
      <color indexed="9"/>
      <name val="Arial"/>
      <family val="2"/>
    </font>
    <font>
      <sz val="10"/>
      <color theme="1"/>
      <name val="Arial"/>
      <family val="2"/>
    </font>
    <font>
      <vertAlign val="superscript"/>
      <sz val="10"/>
      <color indexed="9"/>
      <name val="Arial"/>
      <family val="2"/>
    </font>
    <font>
      <b/>
      <sz val="14"/>
      <color indexed="9"/>
      <name val="Arial"/>
      <family val="2"/>
    </font>
    <font>
      <sz val="11"/>
      <color theme="0"/>
      <name val="Arial"/>
      <family val="2"/>
    </font>
    <font>
      <vertAlign val="superscript"/>
      <sz val="11"/>
      <color theme="0"/>
      <name val="Arial"/>
      <family val="2"/>
    </font>
    <font>
      <sz val="11"/>
      <color theme="1"/>
      <name val="Arial"/>
      <family val="2"/>
    </font>
    <font>
      <b/>
      <sz val="10"/>
      <color theme="0"/>
      <name val="Arial"/>
      <family val="2"/>
    </font>
    <font>
      <i/>
      <sz val="10"/>
      <name val="Arial"/>
      <family val="2"/>
    </font>
    <font>
      <b/>
      <sz val="10"/>
      <name val="Arial"/>
      <family val="2"/>
    </font>
    <font>
      <sz val="9"/>
      <color indexed="81"/>
      <name val="Tahoma"/>
      <family val="2"/>
    </font>
    <font>
      <b/>
      <sz val="20"/>
      <color indexed="9"/>
      <name val="Arial"/>
      <family val="2"/>
    </font>
    <font>
      <sz val="8"/>
      <name val="Arial"/>
      <family val="2"/>
    </font>
    <font>
      <u/>
      <sz val="22"/>
      <color rgb="FF58B527"/>
      <name val="Calibri"/>
      <family val="2"/>
      <scheme val="minor"/>
    </font>
    <font>
      <sz val="22"/>
      <color rgb="FF58B527"/>
      <name val="Calibri"/>
      <family val="2"/>
      <scheme val="minor"/>
    </font>
    <font>
      <u/>
      <sz val="11"/>
      <color theme="10"/>
      <name val="Calibri"/>
      <family val="2"/>
      <scheme val="minor"/>
    </font>
    <font>
      <b/>
      <sz val="9"/>
      <name val="Arial"/>
      <family val="2"/>
    </font>
    <font>
      <b/>
      <sz val="9"/>
      <color indexed="9"/>
      <name val="Arial"/>
      <family val="2"/>
    </font>
    <font>
      <sz val="9"/>
      <color theme="0"/>
      <name val="Arial"/>
      <family val="2"/>
    </font>
    <font>
      <b/>
      <sz val="8"/>
      <name val="Arial"/>
      <family val="2"/>
    </font>
    <font>
      <sz val="9"/>
      <name val="Arial"/>
      <family val="2"/>
    </font>
    <font>
      <sz val="10"/>
      <color theme="1"/>
      <name val="Symbol"/>
      <family val="1"/>
      <charset val="2"/>
    </font>
    <font>
      <vertAlign val="subscript"/>
      <sz val="10"/>
      <color indexed="9"/>
      <name val="Arial"/>
      <family val="2"/>
    </font>
    <font>
      <sz val="11"/>
      <color indexed="8"/>
      <name val="Calibri"/>
      <family val="2"/>
    </font>
    <font>
      <sz val="11"/>
      <color indexed="9"/>
      <name val="Arial"/>
      <family val="2"/>
    </font>
    <font>
      <sz val="12"/>
      <color indexed="9"/>
      <name val="Arial"/>
      <family val="2"/>
    </font>
    <font>
      <sz val="11"/>
      <color theme="0"/>
      <name val="Calibri"/>
      <family val="2"/>
      <scheme val="minor"/>
    </font>
    <font>
      <b/>
      <sz val="11"/>
      <color indexed="9"/>
      <name val="Arial"/>
      <family val="2"/>
    </font>
    <font>
      <sz val="11"/>
      <color rgb="FFFFFFFF"/>
      <name val="Arial"/>
      <family val="2"/>
    </font>
    <font>
      <b/>
      <i/>
      <sz val="10"/>
      <name val="Arial"/>
      <family val="2"/>
    </font>
    <font>
      <u/>
      <sz val="14"/>
      <color rgb="FF58B527"/>
      <name val="Calibri"/>
      <family val="2"/>
      <scheme val="minor"/>
    </font>
    <font>
      <i/>
      <sz val="11.5"/>
      <color theme="1"/>
      <name val="Calibri"/>
      <family val="2"/>
      <scheme val="minor"/>
    </font>
    <font>
      <sz val="11"/>
      <color theme="1"/>
      <name val="Calibri"/>
      <family val="2"/>
    </font>
    <font>
      <sz val="14"/>
      <color rgb="FF943634"/>
      <name val="Calibri"/>
      <family val="2"/>
      <scheme val="minor"/>
    </font>
    <font>
      <sz val="10"/>
      <name val="Calibri"/>
      <family val="2"/>
    </font>
    <font>
      <vertAlign val="subscript"/>
      <sz val="10"/>
      <color theme="0"/>
      <name val="Arial"/>
      <family val="2"/>
    </font>
    <font>
      <sz val="10"/>
      <color rgb="FFFFFFFF"/>
      <name val="Arial"/>
      <family val="2"/>
    </font>
    <font>
      <b/>
      <i/>
      <sz val="24"/>
      <color theme="0"/>
      <name val="Arial"/>
      <family val="2"/>
    </font>
    <font>
      <sz val="12"/>
      <color theme="0"/>
      <name val="Arial"/>
      <family val="2"/>
    </font>
    <font>
      <sz val="14"/>
      <color indexed="9"/>
      <name val="Arial"/>
      <family val="2"/>
    </font>
    <font>
      <sz val="11"/>
      <color theme="1"/>
      <name val="Times New Roman"/>
      <family val="1"/>
    </font>
    <font>
      <sz val="11"/>
      <color rgb="FF000000"/>
      <name val="Times New Roman"/>
      <family val="1"/>
    </font>
    <font>
      <vertAlign val="subscript"/>
      <sz val="14"/>
      <color indexed="9"/>
      <name val="Arial"/>
      <family val="2"/>
    </font>
    <font>
      <u/>
      <sz val="11"/>
      <color theme="10"/>
      <name val="Calibri"/>
      <family val="2"/>
    </font>
    <font>
      <sz val="11"/>
      <name val="Calibri"/>
      <family val="2"/>
    </font>
    <font>
      <vertAlign val="superscript"/>
      <sz val="10"/>
      <color rgb="FFFFFFFF"/>
      <name val="Arial"/>
      <family val="2"/>
    </font>
    <font>
      <vertAlign val="superscript"/>
      <sz val="11"/>
      <color indexed="9"/>
      <name val="Arial"/>
      <family val="2"/>
    </font>
    <font>
      <sz val="12"/>
      <color rgb="FF943634"/>
      <name val="Calibri"/>
      <family val="2"/>
      <scheme val="minor"/>
    </font>
    <font>
      <sz val="12"/>
      <name val="Arial"/>
      <family val="2"/>
    </font>
    <font>
      <u/>
      <sz val="12"/>
      <color rgb="FF0563C1"/>
      <name val="Arial"/>
      <family val="2"/>
    </font>
    <font>
      <sz val="10"/>
      <name val="Calibri"/>
      <family val="2"/>
      <scheme val="minor"/>
    </font>
    <font>
      <sz val="10"/>
      <color theme="1" tint="0.249977111117893"/>
      <name val="Arial"/>
      <family val="2"/>
    </font>
    <font>
      <i/>
      <sz val="11"/>
      <color theme="1"/>
      <name val="Calibri"/>
      <family val="2"/>
      <scheme val="minor"/>
    </font>
    <font>
      <b/>
      <sz val="11"/>
      <color theme="1" tint="0.249977111117893"/>
      <name val="Arial"/>
      <family val="2"/>
    </font>
    <font>
      <sz val="11"/>
      <color theme="1" tint="0.249977111117893"/>
      <name val="Arial"/>
      <family val="2"/>
    </font>
    <font>
      <b/>
      <sz val="11"/>
      <color rgb="FFFF0000"/>
      <name val="Arial"/>
      <family val="2"/>
    </font>
    <font>
      <b/>
      <u/>
      <sz val="11"/>
      <color theme="1" tint="0.249977111117893"/>
      <name val="Arial"/>
      <family val="2"/>
    </font>
    <font>
      <u/>
      <sz val="11"/>
      <color rgb="FF58AB27"/>
      <name val="Arial"/>
      <family val="2"/>
    </font>
    <font>
      <sz val="10"/>
      <color rgb="FF58AB27"/>
      <name val="Arial"/>
      <family val="2"/>
    </font>
    <font>
      <i/>
      <sz val="11"/>
      <color theme="1" tint="0.34998626667073579"/>
      <name val="Arial"/>
      <family val="2"/>
    </font>
    <font>
      <u/>
      <sz val="11"/>
      <color rgb="FF0070C0"/>
      <name val="Arial"/>
      <family val="2"/>
    </font>
    <font>
      <sz val="10"/>
      <color theme="1"/>
      <name val="Calibri"/>
      <family val="2"/>
      <scheme val="minor"/>
    </font>
    <font>
      <b/>
      <sz val="10"/>
      <color theme="1"/>
      <name val="Arial"/>
      <family val="2"/>
    </font>
    <font>
      <u/>
      <sz val="11"/>
      <color rgb="FF76923C"/>
      <name val="Arial"/>
      <family val="2"/>
    </font>
    <font>
      <sz val="11"/>
      <name val="Symbol"/>
      <family val="1"/>
      <charset val="2"/>
    </font>
    <font>
      <sz val="22"/>
      <color theme="0"/>
      <name val="Calibri"/>
      <family val="2"/>
      <scheme val="minor"/>
    </font>
    <font>
      <u/>
      <sz val="14"/>
      <color theme="0"/>
      <name val="Calibri"/>
      <family val="2"/>
      <scheme val="minor"/>
    </font>
    <font>
      <u/>
      <sz val="16"/>
      <color rgb="FF943634"/>
      <name val="Calibri"/>
      <family val="2"/>
      <scheme val="minor"/>
    </font>
    <font>
      <sz val="14"/>
      <color theme="1"/>
      <name val="Calibri"/>
      <family val="2"/>
      <scheme val="minor"/>
    </font>
    <font>
      <sz val="11"/>
      <name val="Calibri"/>
      <family val="2"/>
      <scheme val="minor"/>
    </font>
    <font>
      <sz val="12"/>
      <name val="Calibri"/>
      <family val="2"/>
      <scheme val="minor"/>
    </font>
    <font>
      <u/>
      <sz val="11"/>
      <color rgb="FF58B527"/>
      <name val="Calibri"/>
      <family val="2"/>
      <scheme val="minor"/>
    </font>
    <font>
      <u/>
      <sz val="14"/>
      <color rgb="FF943634"/>
      <name val="Calibri"/>
      <family val="2"/>
      <scheme val="minor"/>
    </font>
    <font>
      <sz val="10"/>
      <color rgb="FF000000"/>
      <name val="Arial"/>
      <family val="2"/>
    </font>
    <font>
      <i/>
      <sz val="9"/>
      <name val="Arial"/>
      <family val="2"/>
    </font>
    <font>
      <b/>
      <sz val="12"/>
      <color indexed="9"/>
      <name val="Calibri"/>
      <family val="2"/>
      <scheme val="minor"/>
    </font>
    <font>
      <b/>
      <sz val="22"/>
      <color indexed="9"/>
      <name val="Calibri"/>
      <family val="2"/>
      <scheme val="minor"/>
    </font>
    <font>
      <b/>
      <sz val="14"/>
      <color indexed="9"/>
      <name val="Calibri"/>
      <family val="2"/>
      <scheme val="minor"/>
    </font>
    <font>
      <u/>
      <sz val="11"/>
      <color rgb="FF0070C0"/>
      <name val="Calibri"/>
      <family val="2"/>
      <scheme val="minor"/>
    </font>
    <font>
      <sz val="11"/>
      <color rgb="FFFFFFFF"/>
      <name val="Calibri"/>
      <family val="2"/>
      <scheme val="minor"/>
    </font>
    <font>
      <sz val="12"/>
      <color rgb="FFFFFFFF"/>
      <name val="Calibri"/>
      <family val="2"/>
      <scheme val="minor"/>
    </font>
    <font>
      <b/>
      <sz val="12"/>
      <color rgb="FF943634"/>
      <name val="Calibri"/>
      <family val="2"/>
      <scheme val="minor"/>
    </font>
    <font>
      <b/>
      <sz val="11"/>
      <color rgb="FF76923C"/>
      <name val="Calibri"/>
      <family val="2"/>
      <scheme val="minor"/>
    </font>
    <font>
      <b/>
      <sz val="11"/>
      <color rgb="FF5F4970"/>
      <name val="Calibri"/>
      <family val="2"/>
      <scheme val="minor"/>
    </font>
    <font>
      <b/>
      <sz val="11"/>
      <name val="Calibri"/>
      <family val="2"/>
      <scheme val="minor"/>
    </font>
    <font>
      <b/>
      <sz val="11"/>
      <color rgb="FF0070C0"/>
      <name val="Calibri"/>
      <family val="2"/>
      <scheme val="minor"/>
    </font>
    <font>
      <b/>
      <sz val="11"/>
      <color rgb="FF58AB27"/>
      <name val="Calibri"/>
      <family val="2"/>
      <scheme val="minor"/>
    </font>
    <font>
      <b/>
      <sz val="11"/>
      <color rgb="FF943634"/>
      <name val="Calibri"/>
      <family val="2"/>
      <scheme val="minor"/>
    </font>
    <font>
      <b/>
      <sz val="11"/>
      <color rgb="FF984806"/>
      <name val="Calibri"/>
      <family val="2"/>
      <scheme val="minor"/>
    </font>
    <font>
      <b/>
      <sz val="11"/>
      <color rgb="FFFFC000"/>
      <name val="Calibri"/>
      <family val="2"/>
      <scheme val="minor"/>
    </font>
    <font>
      <b/>
      <sz val="11"/>
      <color rgb="FF58AB27"/>
      <name val="Calibri"/>
      <family val="2"/>
    </font>
    <font>
      <b/>
      <sz val="11"/>
      <name val="Calibri"/>
      <family val="2"/>
    </font>
    <font>
      <i/>
      <sz val="10"/>
      <color rgb="FFFF0000"/>
      <name val="Arial"/>
      <family val="2"/>
    </font>
    <font>
      <vertAlign val="subscript"/>
      <sz val="10"/>
      <color rgb="FFFFFFFF"/>
      <name val="Arial"/>
      <family val="2"/>
    </font>
    <font>
      <b/>
      <sz val="11"/>
      <color theme="1"/>
      <name val="Calibri"/>
      <family val="2"/>
      <scheme val="minor"/>
    </font>
    <font>
      <sz val="10"/>
      <color theme="1" tint="0.14999847407452621"/>
      <name val="Arial"/>
      <family val="2"/>
    </font>
    <font>
      <b/>
      <sz val="10"/>
      <color rgb="FFFF0000"/>
      <name val="Arial"/>
      <family val="2"/>
    </font>
    <font>
      <b/>
      <sz val="10"/>
      <color theme="1" tint="0.14999847407452621"/>
      <name val="Arial"/>
      <family val="2"/>
    </font>
    <font>
      <b/>
      <sz val="14"/>
      <color theme="0"/>
      <name val="Arial"/>
      <family val="2"/>
    </font>
    <font>
      <b/>
      <sz val="14"/>
      <color theme="1"/>
      <name val="Arial"/>
      <family val="2"/>
    </font>
    <font>
      <b/>
      <sz val="10"/>
      <color rgb="FF943634"/>
      <name val="Arial"/>
      <family val="2"/>
    </font>
    <font>
      <vertAlign val="subscript"/>
      <sz val="10"/>
      <name val="Arial"/>
      <family val="2"/>
    </font>
    <font>
      <sz val="10"/>
      <color rgb="FF943634"/>
      <name val="Arial"/>
      <family val="2"/>
    </font>
    <font>
      <b/>
      <sz val="10"/>
      <color rgb="FF58AB27"/>
      <name val="Arial"/>
      <family val="2"/>
    </font>
    <font>
      <i/>
      <sz val="14"/>
      <color rgb="FF943634"/>
      <name val="Calibri"/>
      <family val="2"/>
      <scheme val="minor"/>
    </font>
    <font>
      <i/>
      <sz val="11"/>
      <name val="Calibri"/>
      <family val="2"/>
      <scheme val="minor"/>
    </font>
    <font>
      <b/>
      <sz val="28"/>
      <color rgb="FFFFC000"/>
      <name val="Calibri"/>
      <family val="2"/>
      <scheme val="minor"/>
    </font>
    <font>
      <b/>
      <i/>
      <sz val="10"/>
      <color theme="1"/>
      <name val="Arial"/>
      <family val="2"/>
    </font>
    <font>
      <u/>
      <sz val="12"/>
      <color rgb="FF58AB27"/>
      <name val="Arial"/>
      <family val="2"/>
    </font>
    <font>
      <u/>
      <sz val="12"/>
      <color rgb="FF984806"/>
      <name val="Arial"/>
      <family val="2"/>
    </font>
    <font>
      <b/>
      <sz val="24"/>
      <color indexed="9"/>
      <name val="Calibri"/>
      <family val="2"/>
      <scheme val="minor"/>
    </font>
    <font>
      <b/>
      <sz val="22"/>
      <color theme="0"/>
      <name val="Calibri"/>
      <family val="2"/>
      <scheme val="minor"/>
    </font>
    <font>
      <sz val="20"/>
      <color theme="0"/>
      <name val="Calibri"/>
      <family val="2"/>
      <scheme val="minor"/>
    </font>
    <font>
      <u/>
      <sz val="11"/>
      <color theme="0"/>
      <name val="Calibri"/>
      <family val="2"/>
      <scheme val="minor"/>
    </font>
    <font>
      <u/>
      <sz val="12"/>
      <color rgb="FF5F4970"/>
      <name val="Arial"/>
      <family val="2"/>
    </font>
    <font>
      <u/>
      <sz val="12"/>
      <color rgb="FF76923C"/>
      <name val="Arial"/>
      <family val="2"/>
    </font>
    <font>
      <u/>
      <sz val="12"/>
      <color rgb="FF943634"/>
      <name val="Arial"/>
      <family val="2"/>
    </font>
    <font>
      <i/>
      <sz val="10"/>
      <name val="Calibri"/>
      <family val="2"/>
    </font>
    <font>
      <i/>
      <sz val="10"/>
      <name val="Calibri"/>
      <family val="2"/>
      <scheme val="minor"/>
    </font>
    <font>
      <vertAlign val="superscript"/>
      <sz val="10"/>
      <name val="Arial"/>
      <family val="2"/>
    </font>
    <font>
      <sz val="12"/>
      <color theme="0"/>
      <name val="Calibri"/>
      <family val="2"/>
      <scheme val="minor"/>
    </font>
    <font>
      <b/>
      <vertAlign val="superscript"/>
      <sz val="10"/>
      <name val="Arial"/>
      <family val="2"/>
    </font>
    <font>
      <u/>
      <sz val="10"/>
      <name val="Arial"/>
      <family val="2"/>
    </font>
    <font>
      <u/>
      <sz val="11"/>
      <color rgb="FF943634"/>
      <name val="Arial"/>
      <family val="2"/>
    </font>
    <font>
      <u/>
      <sz val="11"/>
      <color rgb="FF984806"/>
      <name val="Arial"/>
      <family val="2"/>
    </font>
    <font>
      <u/>
      <sz val="11"/>
      <color rgb="FF5F4970"/>
      <name val="Arial"/>
      <family val="2"/>
    </font>
    <font>
      <i/>
      <vertAlign val="superscript"/>
      <sz val="10"/>
      <name val="Arial"/>
      <family val="2"/>
    </font>
    <font>
      <i/>
      <sz val="10"/>
      <color rgb="FF943634"/>
      <name val="Arial"/>
      <family val="2"/>
    </font>
    <font>
      <b/>
      <sz val="12"/>
      <color theme="1"/>
      <name val="Calibri"/>
      <family val="2"/>
      <scheme val="minor"/>
    </font>
    <font>
      <sz val="10"/>
      <color theme="5" tint="-0.499984740745262"/>
      <name val="Arial"/>
      <family val="2"/>
    </font>
    <font>
      <vertAlign val="superscript"/>
      <sz val="10"/>
      <color theme="1"/>
      <name val="Arial"/>
      <family val="2"/>
    </font>
    <font>
      <sz val="22"/>
      <color rgb="FFFFFFFF"/>
      <name val="Arial"/>
      <family val="2"/>
    </font>
    <font>
      <sz val="24"/>
      <color rgb="FFFFFFFF"/>
      <name val="Calibri"/>
      <family val="2"/>
      <scheme val="minor"/>
    </font>
    <font>
      <sz val="14"/>
      <color rgb="FFFFFFFF"/>
      <name val="Arial"/>
      <family val="2"/>
    </font>
    <font>
      <i/>
      <sz val="10"/>
      <color theme="1"/>
      <name val="Arial"/>
      <family val="2"/>
    </font>
    <font>
      <u/>
      <sz val="11"/>
      <color rgb="FFFFFFFF"/>
      <name val="Arial"/>
      <family val="2"/>
    </font>
    <font>
      <vertAlign val="superscript"/>
      <sz val="11"/>
      <color theme="1"/>
      <name val="Arial"/>
      <family val="2"/>
    </font>
    <font>
      <sz val="10"/>
      <color rgb="FF58B527"/>
      <name val="Arial"/>
      <family val="2"/>
    </font>
    <font>
      <sz val="10"/>
      <color theme="1"/>
      <name val="Calibri"/>
      <family val="2"/>
    </font>
    <font>
      <i/>
      <sz val="10"/>
      <color rgb="FF76923C"/>
      <name val="Arial"/>
      <family val="2"/>
    </font>
    <font>
      <sz val="10"/>
      <color rgb="FF984806"/>
      <name val="Arial"/>
      <family val="2"/>
    </font>
    <font>
      <b/>
      <sz val="36"/>
      <color rgb="FF76923C"/>
      <name val="Calibri"/>
      <family val="2"/>
      <scheme val="minor"/>
    </font>
    <font>
      <b/>
      <sz val="12"/>
      <color rgb="FF76923C"/>
      <name val="Calibri"/>
      <family val="2"/>
      <scheme val="minor"/>
    </font>
    <font>
      <sz val="11"/>
      <color rgb="FF76923C"/>
      <name val="Calibri"/>
      <family val="2"/>
      <scheme val="minor"/>
    </font>
    <font>
      <b/>
      <sz val="11"/>
      <color rgb="FF76923C"/>
      <name val="Calibri"/>
      <family val="2"/>
    </font>
    <font>
      <i/>
      <sz val="14"/>
      <color rgb="FF76923C"/>
      <name val="Calibri"/>
      <family val="2"/>
      <scheme val="minor"/>
    </font>
    <font>
      <b/>
      <sz val="10"/>
      <color rgb="FF76923C"/>
      <name val="Arial"/>
      <family val="2"/>
    </font>
    <font>
      <sz val="10"/>
      <color rgb="FF76923C"/>
      <name val="Arial"/>
      <family val="2"/>
    </font>
    <font>
      <vertAlign val="subscript"/>
      <sz val="8"/>
      <name val="Arial"/>
      <family val="2"/>
    </font>
    <font>
      <b/>
      <vertAlign val="subscript"/>
      <sz val="10"/>
      <name val="Arial"/>
      <family val="2"/>
    </font>
    <font>
      <i/>
      <vertAlign val="subscript"/>
      <sz val="10"/>
      <name val="Arial"/>
      <family val="2"/>
    </font>
    <font>
      <b/>
      <sz val="9"/>
      <color indexed="81"/>
      <name val="Tahoma"/>
      <family val="2"/>
    </font>
    <font>
      <sz val="18"/>
      <color rgb="FF76923C"/>
      <name val="Arial"/>
      <family val="2"/>
    </font>
    <font>
      <b/>
      <sz val="10"/>
      <color indexed="9"/>
      <name val="Arial"/>
      <family val="2"/>
    </font>
    <font>
      <i/>
      <sz val="10"/>
      <color rgb="FF4A562A"/>
      <name val="Arial"/>
      <family val="2"/>
    </font>
    <font>
      <u/>
      <sz val="11"/>
      <name val="Arial"/>
      <family val="2"/>
    </font>
    <font>
      <u/>
      <sz val="12"/>
      <name val="Arial"/>
      <family val="2"/>
    </font>
    <font>
      <b/>
      <vertAlign val="subscript"/>
      <sz val="18"/>
      <color indexed="9"/>
      <name val="Arial"/>
      <family val="2"/>
    </font>
    <font>
      <sz val="10"/>
      <name val="Calibri Light"/>
      <family val="2"/>
      <scheme val="major"/>
    </font>
    <font>
      <b/>
      <sz val="11"/>
      <color rgb="FF58B527"/>
      <name val="Arial"/>
      <family val="2"/>
    </font>
    <font>
      <b/>
      <i/>
      <sz val="11"/>
      <color rgb="FF58AB27"/>
      <name val="Arial"/>
      <family val="2"/>
    </font>
    <font>
      <sz val="11"/>
      <color rgb="FF76923C"/>
      <name val="Arial"/>
      <family val="2"/>
    </font>
    <font>
      <sz val="48"/>
      <color theme="0"/>
      <name val="Calibri"/>
      <family val="2"/>
      <scheme val="minor"/>
    </font>
    <font>
      <sz val="48"/>
      <color theme="1"/>
      <name val="Calibri"/>
      <family val="2"/>
      <scheme val="minor"/>
    </font>
    <font>
      <i/>
      <sz val="11"/>
      <color theme="1"/>
      <name val="Arial"/>
      <family val="2"/>
    </font>
    <font>
      <b/>
      <sz val="12"/>
      <name val="Calibri"/>
      <family val="2"/>
      <scheme val="minor"/>
    </font>
    <font>
      <b/>
      <u/>
      <sz val="16"/>
      <color rgb="FF76923C"/>
      <name val="Calibri"/>
      <family val="2"/>
      <scheme val="minor"/>
    </font>
    <font>
      <b/>
      <sz val="14"/>
      <color rgb="FF76923C"/>
      <name val="Calibri"/>
      <family val="2"/>
      <scheme val="minor"/>
    </font>
    <font>
      <sz val="11"/>
      <color theme="10"/>
      <name val="Calibri"/>
      <family val="2"/>
      <scheme val="minor"/>
    </font>
    <font>
      <b/>
      <sz val="11"/>
      <color rgb="FF943634"/>
      <name val="Arial"/>
      <family val="2"/>
    </font>
    <font>
      <b/>
      <sz val="11"/>
      <color rgb="FF984806"/>
      <name val="Arial"/>
      <family val="2"/>
    </font>
    <font>
      <vertAlign val="subscript"/>
      <sz val="11"/>
      <color theme="1" tint="0.249977111117893"/>
      <name val="Arial"/>
      <family val="2"/>
    </font>
    <font>
      <b/>
      <sz val="11"/>
      <color rgb="FF76923C"/>
      <name val="Arial"/>
      <family val="2"/>
    </font>
    <font>
      <vertAlign val="superscript"/>
      <sz val="11"/>
      <color theme="1"/>
      <name val="Calibri"/>
      <family val="2"/>
      <scheme val="minor"/>
    </font>
    <font>
      <b/>
      <sz val="12"/>
      <color theme="8" tint="-0.499984740745262"/>
      <name val="Arial"/>
      <family val="2"/>
    </font>
    <font>
      <b/>
      <sz val="12"/>
      <color theme="0" tint="-0.499984740745262"/>
      <name val="Arial"/>
      <family val="2"/>
    </font>
    <font>
      <sz val="10"/>
      <color rgb="FF0070C0"/>
      <name val="Arial"/>
      <family val="2"/>
    </font>
    <font>
      <b/>
      <sz val="12"/>
      <color rgb="FFFFA500"/>
      <name val="Arial"/>
      <family val="2"/>
    </font>
    <font>
      <sz val="12"/>
      <color rgb="FF943634"/>
      <name val="Arial"/>
      <family val="2"/>
    </font>
  </fonts>
  <fills count="37">
    <fill>
      <patternFill patternType="none"/>
    </fill>
    <fill>
      <patternFill patternType="gray125"/>
    </fill>
    <fill>
      <patternFill patternType="solid">
        <fgColor theme="0" tint="-4.9989318521683403E-2"/>
        <bgColor indexed="64"/>
      </patternFill>
    </fill>
    <fill>
      <patternFill patternType="solid">
        <fgColor rgb="FF76923C"/>
        <bgColor indexed="64"/>
      </patternFill>
    </fill>
    <fill>
      <patternFill patternType="solid">
        <fgColor theme="0" tint="-0.249977111117893"/>
        <bgColor indexed="64"/>
      </patternFill>
    </fill>
    <fill>
      <patternFill patternType="solid">
        <fgColor rgb="FF984806"/>
        <bgColor indexed="64"/>
      </patternFill>
    </fill>
    <fill>
      <patternFill patternType="solid">
        <fgColor rgb="FF943634"/>
        <bgColor indexed="64"/>
      </patternFill>
    </fill>
    <fill>
      <patternFill patternType="solid">
        <fgColor rgb="FFFFC000"/>
        <bgColor indexed="64"/>
      </patternFill>
    </fill>
    <fill>
      <patternFill patternType="solid">
        <fgColor rgb="FF58B527"/>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5F4970"/>
        <bgColor indexed="64"/>
      </patternFill>
    </fill>
    <fill>
      <patternFill patternType="solid">
        <fgColor rgb="FFFFFFCC"/>
        <bgColor indexed="64"/>
      </patternFill>
    </fill>
    <fill>
      <patternFill patternType="solid">
        <fgColor rgb="FFD9D9D9"/>
        <bgColor indexed="64"/>
      </patternFill>
    </fill>
    <fill>
      <patternFill patternType="solid">
        <fgColor rgb="FF0070C0"/>
        <bgColor indexed="64"/>
      </patternFill>
    </fill>
    <fill>
      <patternFill patternType="solid">
        <fgColor rgb="FF0070C0"/>
        <bgColor indexed="22"/>
      </patternFill>
    </fill>
    <fill>
      <patternFill patternType="solid">
        <fgColor theme="7" tint="0.59999389629810485"/>
        <bgColor indexed="64"/>
      </patternFill>
    </fill>
    <fill>
      <patternFill patternType="solid">
        <fgColor rgb="FFF2F2F2"/>
        <bgColor indexed="64"/>
      </patternFill>
    </fill>
    <fill>
      <patternFill patternType="solid">
        <fgColor theme="5" tint="0.59999389629810485"/>
        <bgColor indexed="64"/>
      </patternFill>
    </fill>
    <fill>
      <patternFill patternType="solid">
        <fgColor rgb="FF58AB27"/>
        <bgColor indexed="64"/>
      </patternFill>
    </fill>
    <fill>
      <patternFill patternType="solid">
        <fgColor rgb="FFBFBFBF"/>
        <bgColor indexed="64"/>
      </patternFill>
    </fill>
    <fill>
      <patternFill patternType="solid">
        <fgColor rgb="FF0066FF"/>
        <bgColor indexed="22"/>
      </patternFill>
    </fill>
    <fill>
      <patternFill patternType="solid">
        <fgColor indexed="48"/>
        <bgColor indexed="22"/>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7F7F7F"/>
        <bgColor indexed="64"/>
      </patternFill>
    </fill>
    <fill>
      <patternFill patternType="solid">
        <fgColor rgb="FF5F497A"/>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rgb="FF808080"/>
        <bgColor indexed="64"/>
      </patternFill>
    </fill>
    <fill>
      <patternFill patternType="solid">
        <fgColor rgb="FF4A562A"/>
        <bgColor indexed="64"/>
      </patternFill>
    </fill>
    <fill>
      <patternFill patternType="solid">
        <fgColor rgb="FFFFAF00"/>
        <bgColor indexed="64"/>
      </patternFill>
    </fill>
    <fill>
      <patternFill patternType="solid">
        <fgColor rgb="FFFFF2CC"/>
        <bgColor indexed="64"/>
      </patternFill>
    </fill>
  </fills>
  <borders count="159">
    <border>
      <left/>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rgb="FF92D050"/>
      </right>
      <top/>
      <bottom style="thin">
        <color theme="0" tint="-0.499984740745262"/>
      </bottom>
      <diagonal/>
    </border>
    <border>
      <left style="thin">
        <color theme="0"/>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right>
      <top/>
      <bottom/>
      <diagonal/>
    </border>
    <border>
      <left/>
      <right/>
      <top style="thin">
        <color theme="0" tint="-0.34998626667073579"/>
      </top>
      <bottom/>
      <diagonal/>
    </border>
    <border>
      <left/>
      <right/>
      <top style="thin">
        <color theme="0" tint="-0.499984740745262"/>
      </top>
      <bottom style="thin">
        <color theme="0"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style="thin">
        <color theme="0"/>
      </right>
      <top/>
      <bottom/>
      <diagonal/>
    </border>
    <border>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4.9989318521683403E-2"/>
      </left>
      <right/>
      <top/>
      <bottom style="thin">
        <color theme="0" tint="-4.9989318521683403E-2"/>
      </bottom>
      <diagonal/>
    </border>
    <border>
      <left style="thin">
        <color theme="1" tint="0.499984740745262"/>
      </left>
      <right/>
      <top/>
      <bottom style="thin">
        <color theme="0" tint="-0.499984740745262"/>
      </bottom>
      <diagonal/>
    </border>
    <border>
      <left/>
      <right style="thin">
        <color theme="1" tint="0.499984740745262"/>
      </right>
      <top/>
      <bottom style="thin">
        <color theme="0" tint="-0.499984740745262"/>
      </bottom>
      <diagonal/>
    </border>
    <border>
      <left style="thin">
        <color theme="1" tint="0.499984740745262"/>
      </left>
      <right/>
      <top style="thin">
        <color theme="0" tint="-0.499984740745262"/>
      </top>
      <bottom/>
      <diagonal/>
    </border>
    <border>
      <left style="thin">
        <color theme="0" tint="-4.9989318521683403E-2"/>
      </left>
      <right/>
      <top style="thin">
        <color theme="0"/>
      </top>
      <bottom style="thin">
        <color theme="0" tint="-4.9989318521683403E-2"/>
      </bottom>
      <diagonal/>
    </border>
    <border>
      <left/>
      <right style="thin">
        <color theme="0" tint="-4.9989318521683403E-2"/>
      </right>
      <top style="thin">
        <color theme="0"/>
      </top>
      <bottom style="thin">
        <color theme="0" tint="-4.9989318521683403E-2"/>
      </bottom>
      <diagonal/>
    </border>
    <border>
      <left style="medium">
        <color rgb="FFFFFFFF"/>
      </left>
      <right style="medium">
        <color rgb="FFFFFFFF"/>
      </right>
      <top style="medium">
        <color rgb="FFFFFFFF"/>
      </top>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right/>
      <top style="thin">
        <color theme="0" tint="-0.34998626667073579"/>
      </top>
      <bottom style="thin">
        <color theme="0" tint="-0.499984740745262"/>
      </bottom>
      <diagonal/>
    </border>
    <border>
      <left/>
      <right style="thin">
        <color theme="0" tint="-0.499984740745262"/>
      </right>
      <top style="thin">
        <color theme="0" tint="-0.34998626667073579"/>
      </top>
      <bottom style="thin">
        <color theme="0" tint="-0.34998626667073579"/>
      </bottom>
      <diagonal/>
    </border>
    <border>
      <left/>
      <right style="thin">
        <color theme="0" tint="-0.499984740745262"/>
      </right>
      <top/>
      <bottom style="thin">
        <color theme="0" tint="-0.34998626667073579"/>
      </bottom>
      <diagonal/>
    </border>
    <border>
      <left/>
      <right style="thin">
        <color theme="0"/>
      </right>
      <top/>
      <bottom style="thin">
        <color theme="0" tint="-4.9989318521683403E-2"/>
      </bottom>
      <diagonal/>
    </border>
    <border>
      <left style="thin">
        <color theme="0"/>
      </left>
      <right/>
      <top style="thin">
        <color theme="0" tint="-4.9989318521683403E-2"/>
      </top>
      <bottom style="thin">
        <color theme="0"/>
      </bottom>
      <diagonal/>
    </border>
    <border>
      <left/>
      <right style="thin">
        <color theme="0" tint="-4.9989318521683403E-2"/>
      </right>
      <top/>
      <bottom style="thin">
        <color theme="0" tint="-4.9989318521683403E-2"/>
      </bottom>
      <diagonal/>
    </border>
    <border>
      <left style="thin">
        <color theme="1" tint="0.499984740745262"/>
      </left>
      <right style="thin">
        <color theme="0"/>
      </right>
      <top/>
      <bottom style="thin">
        <color theme="0"/>
      </bottom>
      <diagonal/>
    </border>
    <border>
      <left style="thin">
        <color theme="0"/>
      </left>
      <right style="thin">
        <color theme="1" tint="0.499984740745262"/>
      </right>
      <top style="thin">
        <color theme="0"/>
      </top>
      <bottom style="thin">
        <color theme="0"/>
      </bottom>
      <diagonal/>
    </border>
    <border>
      <left style="thin">
        <color theme="1" tint="0.499984740745262"/>
      </left>
      <right style="thin">
        <color theme="0"/>
      </right>
      <top style="thin">
        <color theme="0"/>
      </top>
      <bottom style="thin">
        <color theme="0"/>
      </bottom>
      <diagonal/>
    </border>
    <border>
      <left style="thin">
        <color theme="0"/>
      </left>
      <right style="thin">
        <color theme="1" tint="0.499984740745262"/>
      </right>
      <top/>
      <bottom style="thin">
        <color theme="0"/>
      </bottom>
      <diagonal/>
    </border>
    <border>
      <left style="medium">
        <color rgb="FFFFFFFF"/>
      </left>
      <right/>
      <top style="medium">
        <color rgb="FFFFFFFF"/>
      </top>
      <bottom/>
      <diagonal/>
    </border>
    <border>
      <left/>
      <right style="medium">
        <color rgb="FFFFFFFF"/>
      </right>
      <top style="medium">
        <color rgb="FFFFFFFF"/>
      </top>
      <bottom/>
      <diagonal/>
    </border>
    <border>
      <left/>
      <right/>
      <top style="medium">
        <color rgb="FFFFFFFF"/>
      </top>
      <bottom/>
      <diagonal/>
    </border>
    <border>
      <left style="medium">
        <color rgb="FFFFFFFF"/>
      </left>
      <right/>
      <top/>
      <bottom/>
      <diagonal/>
    </border>
    <border>
      <left/>
      <right style="medium">
        <color rgb="FFFFFFFF"/>
      </right>
      <top/>
      <bottom/>
      <diagonal/>
    </border>
    <border>
      <left style="medium">
        <color theme="0" tint="-4.9989318521683403E-2"/>
      </left>
      <right/>
      <top/>
      <bottom/>
      <diagonal/>
    </border>
    <border>
      <left/>
      <right/>
      <top style="medium">
        <color rgb="FFFFFFFF"/>
      </top>
      <bottom style="thin">
        <color theme="0"/>
      </bottom>
      <diagonal/>
    </border>
    <border>
      <left/>
      <right style="medium">
        <color rgb="FFFFFFFF"/>
      </right>
      <top style="medium">
        <color rgb="FFFFFFFF"/>
      </top>
      <bottom style="thin">
        <color theme="0"/>
      </bottom>
      <diagonal/>
    </border>
    <border>
      <left/>
      <right style="thin">
        <color theme="0"/>
      </right>
      <top style="medium">
        <color rgb="FFFFFFFF"/>
      </top>
      <bottom/>
      <diagonal/>
    </border>
    <border>
      <left style="thin">
        <color theme="0"/>
      </left>
      <right/>
      <top/>
      <bottom style="medium">
        <color rgb="FFFFFFFF"/>
      </bottom>
      <diagonal/>
    </border>
    <border>
      <left/>
      <right style="medium">
        <color rgb="FFFFFFFF"/>
      </right>
      <top style="thin">
        <color theme="0"/>
      </top>
      <bottom style="thin">
        <color theme="0"/>
      </bottom>
      <diagonal/>
    </border>
    <border>
      <left style="medium">
        <color rgb="FFFFFFFF"/>
      </left>
      <right/>
      <top/>
      <bottom style="thin">
        <color theme="0"/>
      </bottom>
      <diagonal/>
    </border>
    <border>
      <left/>
      <right style="medium">
        <color rgb="FFFFFFFF"/>
      </right>
      <top style="thin">
        <color theme="0"/>
      </top>
      <bottom/>
      <diagonal/>
    </border>
    <border>
      <left/>
      <right style="medium">
        <color rgb="FFFFFFFF"/>
      </right>
      <top/>
      <bottom style="thin">
        <color theme="0"/>
      </bottom>
      <diagonal/>
    </border>
    <border>
      <left style="medium">
        <color rgb="FFFFFFFF"/>
      </left>
      <right/>
      <top style="thin">
        <color theme="0"/>
      </top>
      <bottom/>
      <diagonal/>
    </border>
    <border>
      <left style="medium">
        <color rgb="FFFFFFFF"/>
      </left>
      <right/>
      <top style="thin">
        <color theme="0"/>
      </top>
      <bottom style="thin">
        <color theme="0"/>
      </bottom>
      <diagonal/>
    </border>
    <border>
      <left style="thin">
        <color theme="0"/>
      </left>
      <right/>
      <top style="medium">
        <color rgb="FFFFFFFF"/>
      </top>
      <bottom style="thin">
        <color theme="0"/>
      </bottom>
      <diagonal/>
    </border>
    <border>
      <left/>
      <right style="medium">
        <color theme="0" tint="-4.9989318521683403E-2"/>
      </right>
      <top style="medium">
        <color rgb="FFFFFFFF"/>
      </top>
      <bottom style="thin">
        <color theme="0"/>
      </bottom>
      <diagonal/>
    </border>
    <border>
      <left style="thin">
        <color theme="1" tint="0.499984740745262"/>
      </left>
      <right style="thin">
        <color theme="0"/>
      </right>
      <top style="thin">
        <color theme="1" tint="0.499984740745262"/>
      </top>
      <bottom style="thin">
        <color theme="1" tint="0.499984740745262"/>
      </bottom>
      <diagonal/>
    </border>
    <border>
      <left style="thin">
        <color theme="0"/>
      </left>
      <right style="thin">
        <color theme="0"/>
      </right>
      <top style="thin">
        <color theme="1" tint="0.499984740745262"/>
      </top>
      <bottom style="thin">
        <color theme="1" tint="0.499984740745262"/>
      </bottom>
      <diagonal/>
    </border>
    <border>
      <left style="thin">
        <color theme="0"/>
      </left>
      <right/>
      <top style="thin">
        <color theme="1" tint="0.499984740745262"/>
      </top>
      <bottom style="thin">
        <color theme="1" tint="0.499984740745262"/>
      </bottom>
      <diagonal/>
    </border>
    <border>
      <left/>
      <right style="thin">
        <color theme="0"/>
      </right>
      <top style="thin">
        <color theme="0" tint="-4.9989318521683403E-2"/>
      </top>
      <bottom style="thin">
        <color theme="0"/>
      </bottom>
      <diagonal/>
    </border>
    <border>
      <left style="thin">
        <color theme="0"/>
      </left>
      <right/>
      <top style="thin">
        <color theme="0" tint="-4.9989318521683403E-2"/>
      </top>
      <bottom/>
      <diagonal/>
    </border>
    <border>
      <left/>
      <right style="thin">
        <color theme="0"/>
      </right>
      <top style="thin">
        <color theme="0" tint="-4.9989318521683403E-2"/>
      </top>
      <bottom/>
      <diagonal/>
    </border>
    <border>
      <left style="thin">
        <color theme="0"/>
      </left>
      <right/>
      <top/>
      <bottom style="thin">
        <color theme="0" tint="-4.9989318521683403E-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4.9989318521683403E-2"/>
      </left>
      <right/>
      <top/>
      <bottom/>
      <diagonal/>
    </border>
    <border>
      <left style="thin">
        <color rgb="FF000000"/>
      </left>
      <right/>
      <top style="thin">
        <color rgb="FF000000"/>
      </top>
      <bottom style="medium">
        <color rgb="FFFFFFFF"/>
      </bottom>
      <diagonal/>
    </border>
    <border>
      <left/>
      <right style="thin">
        <color rgb="FF000000"/>
      </right>
      <top style="thin">
        <color rgb="FF000000"/>
      </top>
      <bottom style="medium">
        <color rgb="FFFFFFFF"/>
      </bottom>
      <diagonal/>
    </border>
    <border>
      <left style="thin">
        <color rgb="FF000000"/>
      </left>
      <right style="medium">
        <color rgb="FFFFFFFF"/>
      </right>
      <top/>
      <bottom style="medium">
        <color rgb="FFFFFFFF"/>
      </bottom>
      <diagonal/>
    </border>
    <border>
      <left/>
      <right style="thin">
        <color rgb="FF000000"/>
      </right>
      <top/>
      <bottom style="medium">
        <color rgb="FFFFFFFF"/>
      </bottom>
      <diagonal/>
    </border>
    <border>
      <left style="thin">
        <color theme="0" tint="-0.499984740745262"/>
      </left>
      <right style="thin">
        <color theme="1"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0" tint="-0.499984740745262"/>
      </top>
      <bottom style="thin">
        <color theme="0" tint="-0.499984740745262"/>
      </bottom>
      <diagonal/>
    </border>
    <border>
      <left style="thin">
        <color theme="1" tint="0.499984740745262"/>
      </left>
      <right style="thin">
        <color theme="0" tint="-0.499984740745262"/>
      </right>
      <top style="thin">
        <color theme="0" tint="-0.499984740745262"/>
      </top>
      <bottom style="thin">
        <color theme="0" tint="-0.499984740745262"/>
      </bottom>
      <diagonal/>
    </border>
    <border>
      <left/>
      <right style="thin">
        <color theme="0" tint="-0.34998626667073579"/>
      </right>
      <top style="thin">
        <color theme="0" tint="-0.34998626667073579"/>
      </top>
      <bottom/>
      <diagonal/>
    </border>
    <border>
      <left style="thin">
        <color rgb="FFFFC000"/>
      </left>
      <right/>
      <top style="thin">
        <color rgb="FFFFC000"/>
      </top>
      <bottom/>
      <diagonal/>
    </border>
    <border>
      <left/>
      <right/>
      <top style="thin">
        <color rgb="FFFFC000"/>
      </top>
      <bottom/>
      <diagonal/>
    </border>
    <border>
      <left/>
      <right style="thin">
        <color rgb="FFFFC000"/>
      </right>
      <top style="thin">
        <color rgb="FFFFC000"/>
      </top>
      <bottom/>
      <diagonal/>
    </border>
    <border>
      <left style="thin">
        <color rgb="FFFFC000"/>
      </left>
      <right/>
      <top/>
      <bottom/>
      <diagonal/>
    </border>
    <border>
      <left/>
      <right style="thin">
        <color rgb="FFFFC000"/>
      </right>
      <top/>
      <bottom/>
      <diagonal/>
    </border>
    <border>
      <left style="thin">
        <color rgb="FFFFC000"/>
      </left>
      <right/>
      <top/>
      <bottom style="thin">
        <color rgb="FFFFC000"/>
      </bottom>
      <diagonal/>
    </border>
    <border>
      <left/>
      <right/>
      <top/>
      <bottom style="thin">
        <color rgb="FFFFC000"/>
      </bottom>
      <diagonal/>
    </border>
    <border>
      <left/>
      <right style="thin">
        <color rgb="FFFFC000"/>
      </right>
      <top/>
      <bottom style="thin">
        <color rgb="FFFFC000"/>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diagonal/>
    </border>
    <border>
      <left/>
      <right style="thin">
        <color theme="8" tint="-0.499984740745262"/>
      </right>
      <top/>
      <bottom/>
      <diagonal/>
    </border>
    <border>
      <left style="thin">
        <color theme="8" tint="-0.499984740745262"/>
      </left>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s>
  <cellStyleXfs count="7">
    <xf numFmtId="0" fontId="0" fillId="0" borderId="0"/>
    <xf numFmtId="9" fontId="1" fillId="0" borderId="0" applyFont="0" applyFill="0" applyBorder="0" applyAlignment="0" applyProtection="0"/>
    <xf numFmtId="0" fontId="2" fillId="0" borderId="0"/>
    <xf numFmtId="0" fontId="28" fillId="0" borderId="0" applyNumberFormat="0" applyFill="0" applyBorder="0" applyAlignment="0" applyProtection="0"/>
    <xf numFmtId="0" fontId="36" fillId="0" borderId="0"/>
    <xf numFmtId="0" fontId="56" fillId="0" borderId="0" applyNumberFormat="0" applyFill="0" applyBorder="0" applyAlignment="0" applyProtection="0">
      <alignment vertical="top"/>
      <protection locked="0"/>
    </xf>
    <xf numFmtId="0" fontId="2" fillId="0" borderId="0"/>
  </cellStyleXfs>
  <cellXfs count="2493">
    <xf numFmtId="0" fontId="0" fillId="0" borderId="0" xfId="0"/>
    <xf numFmtId="0" fontId="2" fillId="2" borderId="0" xfId="2" applyFont="1" applyFill="1"/>
    <xf numFmtId="0" fontId="3" fillId="2" borderId="0" xfId="2" applyFont="1" applyFill="1" applyAlignment="1">
      <alignment horizontal="center"/>
    </xf>
    <xf numFmtId="0" fontId="7" fillId="2" borderId="0" xfId="2" applyFont="1" applyFill="1" applyAlignment="1">
      <alignment horizontal="left" vertical="center" wrapText="1"/>
    </xf>
    <xf numFmtId="0" fontId="2" fillId="2" borderId="0" xfId="2" applyFill="1" applyBorder="1"/>
    <xf numFmtId="0" fontId="2" fillId="2" borderId="0" xfId="2" applyFill="1"/>
    <xf numFmtId="0" fontId="13" fillId="8" borderId="0" xfId="0" applyFont="1" applyFill="1" applyBorder="1" applyAlignment="1" applyProtection="1">
      <alignment horizontal="center" vertical="center" wrapText="1"/>
      <protection hidden="1"/>
    </xf>
    <xf numFmtId="0" fontId="6" fillId="9" borderId="4" xfId="2" applyFont="1" applyFill="1" applyBorder="1" applyAlignment="1">
      <alignment horizontal="center" vertical="center" wrapText="1"/>
    </xf>
    <xf numFmtId="0" fontId="13" fillId="3" borderId="0" xfId="0" applyFont="1" applyFill="1" applyBorder="1" applyAlignment="1" applyProtection="1">
      <alignment horizontal="center" vertical="center"/>
      <protection hidden="1"/>
    </xf>
    <xf numFmtId="0" fontId="13" fillId="3" borderId="0" xfId="0" applyFont="1" applyFill="1" applyBorder="1" applyAlignment="1" applyProtection="1">
      <alignment horizontal="center" vertical="center" wrapText="1"/>
      <protection hidden="1"/>
    </xf>
    <xf numFmtId="0" fontId="6" fillId="9" borderId="4" xfId="2" applyFont="1" applyFill="1" applyBorder="1" applyAlignment="1" applyProtection="1">
      <alignment horizontal="center" vertical="center" wrapText="1"/>
      <protection hidden="1"/>
    </xf>
    <xf numFmtId="0" fontId="0" fillId="2" borderId="0" xfId="0" applyFill="1"/>
    <xf numFmtId="0" fontId="0" fillId="11" borderId="0" xfId="0" applyFill="1"/>
    <xf numFmtId="0" fontId="19" fillId="0" borderId="0" xfId="0" applyFont="1"/>
    <xf numFmtId="0" fontId="2" fillId="11" borderId="0" xfId="2" applyFont="1" applyFill="1" applyBorder="1"/>
    <xf numFmtId="0" fontId="2" fillId="11" borderId="0" xfId="2" applyFont="1" applyFill="1"/>
    <xf numFmtId="0" fontId="19" fillId="11" borderId="0" xfId="0" applyFont="1" applyFill="1"/>
    <xf numFmtId="0" fontId="19" fillId="11" borderId="0" xfId="0" applyFont="1" applyFill="1" applyBorder="1"/>
    <xf numFmtId="9" fontId="19" fillId="11" borderId="0" xfId="0" applyNumberFormat="1" applyFont="1" applyFill="1" applyBorder="1" applyAlignment="1">
      <alignment horizontal="left"/>
    </xf>
    <xf numFmtId="0" fontId="25" fillId="12" borderId="0" xfId="2" applyFont="1" applyFill="1" applyAlignment="1" applyProtection="1">
      <alignment wrapText="1"/>
      <protection hidden="1"/>
    </xf>
    <xf numFmtId="0" fontId="2" fillId="12" borderId="0" xfId="2" applyFill="1" applyAlignment="1" applyProtection="1">
      <alignment wrapText="1"/>
      <protection hidden="1"/>
    </xf>
    <xf numFmtId="0" fontId="26" fillId="11" borderId="0" xfId="0" applyFont="1" applyFill="1" applyAlignment="1" applyProtection="1">
      <alignment vertical="center"/>
      <protection hidden="1"/>
    </xf>
    <xf numFmtId="0" fontId="27" fillId="11" borderId="0" xfId="0" applyFont="1" applyFill="1" applyAlignment="1" applyProtection="1">
      <alignment vertical="center"/>
      <protection hidden="1"/>
    </xf>
    <xf numFmtId="0" fontId="25" fillId="12" borderId="0" xfId="2" applyFont="1" applyFill="1" applyBorder="1" applyAlignment="1" applyProtection="1">
      <alignment wrapText="1"/>
      <protection hidden="1"/>
    </xf>
    <xf numFmtId="0" fontId="25" fillId="12" borderId="0" xfId="2" applyFont="1" applyFill="1" applyBorder="1" applyAlignment="1" applyProtection="1">
      <alignment horizontal="left" vertical="center" wrapText="1"/>
      <protection hidden="1"/>
    </xf>
    <xf numFmtId="0" fontId="2" fillId="12" borderId="0" xfId="2" applyFill="1" applyAlignment="1" applyProtection="1">
      <alignment vertical="center" wrapText="1"/>
      <protection hidden="1"/>
    </xf>
    <xf numFmtId="0" fontId="0" fillId="0" borderId="0" xfId="0" applyAlignment="1"/>
    <xf numFmtId="0" fontId="34" fillId="15" borderId="15" xfId="0" applyFont="1" applyFill="1" applyBorder="1" applyAlignment="1">
      <alignment horizontal="center" vertical="center" wrapText="1"/>
    </xf>
    <xf numFmtId="0" fontId="34" fillId="15" borderId="16" xfId="0" applyFont="1" applyFill="1" applyBorder="1" applyAlignment="1">
      <alignment horizontal="center" vertical="center" wrapText="1"/>
    </xf>
    <xf numFmtId="0" fontId="14" fillId="15" borderId="17" xfId="0" applyFont="1" applyFill="1" applyBorder="1" applyAlignment="1">
      <alignment horizontal="center" vertical="center" wrapText="1"/>
    </xf>
    <xf numFmtId="0" fontId="14" fillId="15" borderId="18" xfId="0" applyFont="1" applyFill="1" applyBorder="1" applyAlignment="1">
      <alignment horizontal="center" vertical="center" wrapText="1"/>
    </xf>
    <xf numFmtId="0" fontId="14" fillId="15" borderId="15" xfId="0" applyFont="1" applyFill="1" applyBorder="1" applyAlignment="1">
      <alignment horizontal="center" vertical="center" wrapText="1"/>
    </xf>
    <xf numFmtId="0" fontId="14" fillId="15" borderId="19" xfId="0" applyFont="1" applyFill="1" applyBorder="1" applyAlignment="1">
      <alignment horizontal="center" vertical="center" wrapText="1"/>
    </xf>
    <xf numFmtId="0" fontId="14" fillId="15" borderId="16" xfId="0" applyFont="1" applyFill="1" applyBorder="1" applyAlignment="1">
      <alignment horizontal="center" vertical="center" wrapText="1"/>
    </xf>
    <xf numFmtId="0" fontId="25" fillId="12" borderId="0" xfId="2" applyFont="1" applyFill="1" applyAlignment="1" applyProtection="1">
      <alignment horizontal="center" vertical="center" wrapText="1"/>
      <protection hidden="1"/>
    </xf>
    <xf numFmtId="0" fontId="10" fillId="16" borderId="0" xfId="0" applyFont="1" applyFill="1" applyBorder="1" applyAlignment="1" applyProtection="1">
      <alignment vertical="center"/>
      <protection hidden="1"/>
    </xf>
    <xf numFmtId="0" fontId="22" fillId="0" borderId="1" xfId="2" applyFont="1" applyFill="1" applyBorder="1" applyAlignment="1">
      <alignment horizontal="center" vertical="center"/>
    </xf>
    <xf numFmtId="0" fontId="0" fillId="11" borderId="0" xfId="0" applyFill="1" applyProtection="1">
      <protection hidden="1"/>
    </xf>
    <xf numFmtId="0" fontId="0" fillId="0" borderId="0" xfId="0" applyProtection="1">
      <protection hidden="1"/>
    </xf>
    <xf numFmtId="0" fontId="0" fillId="19" borderId="0" xfId="0" applyFill="1" applyProtection="1">
      <protection hidden="1"/>
    </xf>
    <xf numFmtId="0" fontId="2" fillId="6" borderId="0" xfId="2" applyFont="1" applyFill="1"/>
    <xf numFmtId="0" fontId="11" fillId="13" borderId="0" xfId="2" applyFont="1" applyFill="1"/>
    <xf numFmtId="0" fontId="11" fillId="3" borderId="0" xfId="2" applyFont="1" applyFill="1"/>
    <xf numFmtId="0" fontId="10" fillId="6" borderId="0" xfId="0" applyFont="1" applyFill="1" applyBorder="1" applyAlignment="1" applyProtection="1">
      <alignment vertical="center"/>
      <protection hidden="1"/>
    </xf>
    <xf numFmtId="0" fontId="13" fillId="6" borderId="0" xfId="0" applyFont="1" applyFill="1" applyBorder="1" applyAlignment="1" applyProtection="1">
      <alignment horizontal="center" vertical="center"/>
      <protection hidden="1"/>
    </xf>
    <xf numFmtId="3" fontId="14" fillId="4" borderId="4" xfId="0" applyNumberFormat="1" applyFont="1" applyFill="1" applyBorder="1" applyAlignment="1" applyProtection="1">
      <alignment horizontal="center" vertical="center" wrapText="1"/>
      <protection hidden="1"/>
    </xf>
    <xf numFmtId="165" fontId="14" fillId="4" borderId="4" xfId="0" applyNumberFormat="1" applyFont="1" applyFill="1" applyBorder="1" applyAlignment="1" applyProtection="1">
      <alignment horizontal="center" vertical="center" wrapText="1"/>
      <protection hidden="1"/>
    </xf>
    <xf numFmtId="0" fontId="14" fillId="4" borderId="4" xfId="0" applyFont="1" applyFill="1" applyBorder="1" applyAlignment="1" applyProtection="1">
      <alignment horizontal="center" vertical="center" wrapText="1"/>
      <protection hidden="1"/>
    </xf>
    <xf numFmtId="0" fontId="2" fillId="6" borderId="0" xfId="2" applyFill="1" applyProtection="1">
      <protection hidden="1"/>
    </xf>
    <xf numFmtId="0" fontId="2" fillId="2" borderId="0" xfId="2" applyFill="1" applyProtection="1">
      <protection hidden="1"/>
    </xf>
    <xf numFmtId="0" fontId="2" fillId="2" borderId="0" xfId="2" applyFill="1" applyBorder="1" applyProtection="1">
      <protection hidden="1"/>
    </xf>
    <xf numFmtId="0" fontId="20" fillId="6" borderId="30" xfId="2" applyFont="1" applyFill="1" applyBorder="1" applyAlignment="1" applyProtection="1">
      <alignment horizontal="center" vertical="center" wrapText="1"/>
      <protection hidden="1"/>
    </xf>
    <xf numFmtId="0" fontId="2" fillId="6" borderId="0" xfId="2" applyFill="1" applyBorder="1" applyProtection="1">
      <protection hidden="1"/>
    </xf>
    <xf numFmtId="0" fontId="2" fillId="2" borderId="0" xfId="2" applyFill="1" applyBorder="1" applyAlignment="1" applyProtection="1">
      <alignment wrapText="1"/>
      <protection hidden="1"/>
    </xf>
    <xf numFmtId="0" fontId="8" fillId="4" borderId="4" xfId="2" applyFont="1" applyFill="1" applyBorder="1" applyAlignment="1" applyProtection="1">
      <alignment horizontal="center" vertical="center"/>
      <protection hidden="1"/>
    </xf>
    <xf numFmtId="0" fontId="22" fillId="11" borderId="1" xfId="2" applyFont="1" applyFill="1" applyBorder="1" applyAlignment="1" applyProtection="1">
      <alignment horizontal="center" vertical="center"/>
      <protection hidden="1"/>
    </xf>
    <xf numFmtId="0" fontId="20" fillId="3" borderId="30" xfId="2" applyFont="1" applyFill="1" applyBorder="1" applyAlignment="1" applyProtection="1">
      <alignment horizontal="center" vertical="center" wrapText="1"/>
      <protection hidden="1"/>
    </xf>
    <xf numFmtId="0" fontId="22" fillId="9" borderId="4" xfId="2" applyFont="1" applyFill="1" applyBorder="1" applyAlignment="1" applyProtection="1">
      <alignment horizontal="center" vertical="center" wrapText="1"/>
      <protection hidden="1"/>
    </xf>
    <xf numFmtId="0" fontId="2" fillId="5" borderId="0" xfId="2" applyFill="1" applyProtection="1">
      <protection hidden="1"/>
    </xf>
    <xf numFmtId="0" fontId="10" fillId="5" borderId="0" xfId="0" applyFont="1" applyFill="1" applyBorder="1" applyAlignment="1" applyProtection="1">
      <alignment vertical="center"/>
      <protection hidden="1"/>
    </xf>
    <xf numFmtId="0" fontId="20" fillId="5" borderId="30" xfId="2" applyFont="1" applyFill="1" applyBorder="1" applyAlignment="1" applyProtection="1">
      <alignment horizontal="center" vertical="center" wrapText="1"/>
      <protection hidden="1"/>
    </xf>
    <xf numFmtId="0" fontId="0" fillId="0" borderId="0" xfId="0" applyProtection="1">
      <protection locked="0" hidden="1"/>
    </xf>
    <xf numFmtId="0" fontId="9" fillId="16" borderId="0" xfId="0" applyFont="1" applyFill="1" applyBorder="1" applyAlignment="1" applyProtection="1">
      <alignment horizontal="left" vertical="center"/>
      <protection hidden="1"/>
    </xf>
    <xf numFmtId="0" fontId="2" fillId="4" borderId="4" xfId="2"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indent="1"/>
      <protection hidden="1"/>
    </xf>
    <xf numFmtId="0" fontId="40" fillId="16" borderId="0" xfId="0" applyFont="1" applyFill="1" applyBorder="1" applyAlignment="1" applyProtection="1">
      <alignment vertical="center"/>
      <protection hidden="1"/>
    </xf>
    <xf numFmtId="0" fontId="20" fillId="16" borderId="30" xfId="2" applyFont="1" applyFill="1" applyBorder="1" applyAlignment="1" applyProtection="1">
      <alignment horizontal="center" vertical="center" wrapText="1"/>
      <protection hidden="1"/>
    </xf>
    <xf numFmtId="0" fontId="2" fillId="2" borderId="0" xfId="2" applyFill="1" applyBorder="1" applyAlignment="1" applyProtection="1">
      <protection hidden="1"/>
    </xf>
    <xf numFmtId="0" fontId="21" fillId="2" borderId="0" xfId="2" applyFont="1" applyFill="1" applyBorder="1" applyProtection="1">
      <protection hidden="1"/>
    </xf>
    <xf numFmtId="0" fontId="22" fillId="2" borderId="0" xfId="2" applyFont="1" applyFill="1" applyBorder="1" applyAlignment="1" applyProtection="1">
      <alignment horizontal="left" vertical="center" indent="1"/>
      <protection hidden="1"/>
    </xf>
    <xf numFmtId="0" fontId="22" fillId="9" borderId="4" xfId="4" applyNumberFormat="1" applyFont="1" applyFill="1" applyBorder="1" applyAlignment="1" applyProtection="1">
      <alignment horizontal="center" vertical="center"/>
      <protection hidden="1"/>
    </xf>
    <xf numFmtId="164" fontId="6" fillId="9" borderId="4" xfId="1" applyNumberFormat="1" applyFont="1" applyFill="1" applyBorder="1" applyAlignment="1" applyProtection="1">
      <alignment horizontal="center" vertical="center"/>
      <protection hidden="1"/>
    </xf>
    <xf numFmtId="0" fontId="22" fillId="0" borderId="2" xfId="2" applyFont="1" applyFill="1" applyBorder="1" applyAlignment="1" applyProtection="1">
      <alignment horizontal="center" vertical="center"/>
      <protection hidden="1"/>
    </xf>
    <xf numFmtId="0" fontId="14" fillId="4" borderId="4" xfId="0" applyFont="1" applyFill="1" applyBorder="1" applyAlignment="1" applyProtection="1">
      <alignment horizontal="left" indent="1"/>
      <protection hidden="1"/>
    </xf>
    <xf numFmtId="0" fontId="2" fillId="4" borderId="4" xfId="4" applyNumberFormat="1" applyFont="1" applyFill="1" applyBorder="1" applyAlignment="1" applyProtection="1">
      <alignment horizontal="center"/>
      <protection hidden="1"/>
    </xf>
    <xf numFmtId="164" fontId="8" fillId="9" borderId="4" xfId="1" applyNumberFormat="1" applyFont="1" applyFill="1" applyBorder="1" applyAlignment="1" applyProtection="1">
      <alignment horizontal="center" vertical="center" wrapText="1"/>
      <protection hidden="1"/>
    </xf>
    <xf numFmtId="0" fontId="14" fillId="15" borderId="4" xfId="0" applyFont="1" applyFill="1" applyBorder="1" applyAlignment="1" applyProtection="1">
      <alignment horizontal="center" vertical="center" wrapText="1"/>
      <protection hidden="1"/>
    </xf>
    <xf numFmtId="0" fontId="0" fillId="0" borderId="0" xfId="0" applyAlignment="1" applyProtection="1">
      <alignment wrapText="1"/>
      <protection hidden="1"/>
    </xf>
    <xf numFmtId="0" fontId="2" fillId="2" borderId="0" xfId="2" applyFill="1" applyAlignment="1" applyProtection="1">
      <alignment horizontal="center"/>
      <protection hidden="1"/>
    </xf>
    <xf numFmtId="10" fontId="8" fillId="9" borderId="4" xfId="1" applyNumberFormat="1" applyFont="1" applyFill="1" applyBorder="1" applyAlignment="1" applyProtection="1">
      <alignment horizontal="center" vertical="center" wrapText="1"/>
      <protection hidden="1"/>
    </xf>
    <xf numFmtId="0" fontId="0" fillId="0" borderId="0" xfId="0" applyProtection="1">
      <protection locked="0"/>
    </xf>
    <xf numFmtId="0" fontId="22" fillId="2" borderId="0" xfId="2" applyFont="1" applyFill="1" applyBorder="1" applyAlignment="1" applyProtection="1">
      <alignment horizontal="center" vertical="center"/>
      <protection hidden="1"/>
    </xf>
    <xf numFmtId="3" fontId="14" fillId="4" borderId="8" xfId="0" applyNumberFormat="1" applyFont="1" applyFill="1" applyBorder="1" applyAlignment="1" applyProtection="1">
      <alignment horizontal="center" vertical="center" wrapText="1"/>
      <protection hidden="1"/>
    </xf>
    <xf numFmtId="0" fontId="2" fillId="2" borderId="0" xfId="2" applyFill="1" applyAlignment="1" applyProtection="1">
      <protection hidden="1"/>
    </xf>
    <xf numFmtId="0" fontId="9" fillId="16" borderId="0" xfId="0" applyFont="1" applyFill="1" applyBorder="1" applyAlignment="1" applyProtection="1">
      <alignment horizontal="left" vertical="center"/>
      <protection hidden="1"/>
    </xf>
    <xf numFmtId="0" fontId="2" fillId="4" borderId="4" xfId="4" applyNumberFormat="1" applyFont="1" applyFill="1" applyBorder="1" applyAlignment="1" applyProtection="1">
      <alignment horizontal="center" vertical="center"/>
      <protection hidden="1"/>
    </xf>
    <xf numFmtId="0" fontId="22" fillId="4" borderId="4" xfId="2" applyFont="1" applyFill="1" applyBorder="1" applyAlignment="1" applyProtection="1">
      <alignment horizontal="center" vertical="center"/>
      <protection hidden="1"/>
    </xf>
    <xf numFmtId="0" fontId="5" fillId="16" borderId="0" xfId="2" applyFont="1" applyFill="1" applyAlignment="1">
      <alignment horizontal="left" vertical="center" wrapText="1" indent="11"/>
    </xf>
    <xf numFmtId="0" fontId="9" fillId="21" borderId="0" xfId="0" applyFont="1" applyFill="1" applyBorder="1" applyAlignment="1" applyProtection="1">
      <alignment horizontal="left" vertical="center"/>
      <protection hidden="1"/>
    </xf>
    <xf numFmtId="0" fontId="10" fillId="21" borderId="0" xfId="0" applyFont="1" applyFill="1" applyBorder="1" applyAlignment="1" applyProtection="1">
      <alignment vertical="center"/>
      <protection hidden="1"/>
    </xf>
    <xf numFmtId="0" fontId="20" fillId="21" borderId="30" xfId="2" applyFont="1" applyFill="1" applyBorder="1" applyAlignment="1" applyProtection="1">
      <alignment horizontal="center" vertical="center" wrapText="1"/>
      <protection hidden="1"/>
    </xf>
    <xf numFmtId="0" fontId="13" fillId="21" borderId="0" xfId="0" applyFont="1" applyFill="1" applyBorder="1" applyAlignment="1" applyProtection="1">
      <alignment horizontal="center" vertical="center"/>
      <protection hidden="1"/>
    </xf>
    <xf numFmtId="0" fontId="40" fillId="21" borderId="0" xfId="0" applyFont="1" applyFill="1" applyBorder="1" applyAlignment="1" applyProtection="1">
      <alignment vertical="center"/>
      <protection hidden="1"/>
    </xf>
    <xf numFmtId="0" fontId="8" fillId="10" borderId="4" xfId="0" applyFont="1" applyFill="1" applyBorder="1" applyAlignment="1" applyProtection="1">
      <alignment horizontal="center" vertical="center"/>
      <protection hidden="1"/>
    </xf>
    <xf numFmtId="0" fontId="5" fillId="16" borderId="31" xfId="0" applyFont="1" applyFill="1" applyBorder="1" applyAlignment="1" applyProtection="1">
      <alignment horizontal="center" vertical="center"/>
      <protection hidden="1"/>
    </xf>
    <xf numFmtId="0" fontId="5" fillId="21" borderId="0" xfId="2" applyFont="1" applyFill="1" applyAlignment="1">
      <alignment horizontal="left" vertical="center" wrapText="1" indent="11"/>
    </xf>
    <xf numFmtId="0" fontId="5" fillId="21" borderId="35" xfId="0" applyFont="1" applyFill="1" applyBorder="1" applyAlignment="1" applyProtection="1">
      <alignment horizontal="left" vertical="center" indent="1"/>
      <protection hidden="1"/>
    </xf>
    <xf numFmtId="0" fontId="5" fillId="21" borderId="3" xfId="0" applyFont="1" applyFill="1" applyBorder="1" applyAlignment="1" applyProtection="1">
      <alignment vertical="center"/>
      <protection hidden="1"/>
    </xf>
    <xf numFmtId="0" fontId="5" fillId="21" borderId="31" xfId="0" applyFont="1" applyFill="1" applyBorder="1" applyAlignment="1" applyProtection="1">
      <alignment horizontal="center" vertical="center"/>
      <protection hidden="1"/>
    </xf>
    <xf numFmtId="0" fontId="5" fillId="16" borderId="0" xfId="2" applyFont="1" applyFill="1" applyAlignment="1">
      <alignment vertical="top" wrapText="1"/>
    </xf>
    <xf numFmtId="0" fontId="5" fillId="13" borderId="0" xfId="2" applyFont="1" applyFill="1" applyAlignment="1">
      <alignment horizontal="left" vertical="center" wrapText="1" indent="11"/>
    </xf>
    <xf numFmtId="0" fontId="5" fillId="13" borderId="0" xfId="2" applyFont="1" applyFill="1" applyAlignment="1">
      <alignment vertical="top" wrapText="1"/>
    </xf>
    <xf numFmtId="0" fontId="5" fillId="13" borderId="31" xfId="0" applyFont="1" applyFill="1" applyBorder="1" applyAlignment="1" applyProtection="1">
      <alignment horizontal="center" vertical="center"/>
      <protection hidden="1"/>
    </xf>
    <xf numFmtId="0" fontId="5" fillId="6" borderId="31" xfId="0" applyFont="1" applyFill="1" applyBorder="1" applyAlignment="1" applyProtection="1">
      <alignment horizontal="center" vertical="center"/>
      <protection hidden="1"/>
    </xf>
    <xf numFmtId="0" fontId="5" fillId="3" borderId="0" xfId="2" applyFont="1" applyFill="1" applyAlignment="1">
      <alignment horizontal="left" vertical="center" wrapText="1" indent="11"/>
    </xf>
    <xf numFmtId="0" fontId="5" fillId="3" borderId="35" xfId="0" applyFont="1" applyFill="1" applyBorder="1" applyAlignment="1" applyProtection="1">
      <alignment horizontal="left" vertical="center" indent="1"/>
      <protection hidden="1"/>
    </xf>
    <xf numFmtId="0" fontId="5" fillId="3" borderId="3" xfId="0" applyFont="1" applyFill="1" applyBorder="1" applyAlignment="1" applyProtection="1">
      <alignment vertical="center"/>
      <protection hidden="1"/>
    </xf>
    <xf numFmtId="0" fontId="5" fillId="3" borderId="31" xfId="0" applyFont="1" applyFill="1" applyBorder="1" applyAlignment="1" applyProtection="1">
      <alignment horizontal="center" vertical="center"/>
      <protection hidden="1"/>
    </xf>
    <xf numFmtId="0" fontId="5" fillId="5" borderId="31" xfId="0" applyFont="1" applyFill="1" applyBorder="1" applyAlignment="1" applyProtection="1">
      <alignment horizontal="center" vertical="center"/>
      <protection hidden="1"/>
    </xf>
    <xf numFmtId="0" fontId="9" fillId="16" borderId="0" xfId="0" applyFont="1" applyFill="1" applyBorder="1" applyAlignment="1" applyProtection="1">
      <alignment horizontal="left" vertical="center"/>
      <protection hidden="1"/>
    </xf>
    <xf numFmtId="0" fontId="5" fillId="7" borderId="35" xfId="0" applyFont="1" applyFill="1" applyBorder="1" applyAlignment="1" applyProtection="1">
      <alignment horizontal="left" vertical="center" indent="1"/>
      <protection hidden="1"/>
    </xf>
    <xf numFmtId="0" fontId="5" fillId="7" borderId="3" xfId="0" applyFont="1" applyFill="1" applyBorder="1" applyAlignment="1" applyProtection="1">
      <alignment vertical="center"/>
      <protection hidden="1"/>
    </xf>
    <xf numFmtId="0" fontId="5" fillId="7" borderId="31" xfId="0" applyFont="1" applyFill="1" applyBorder="1" applyAlignment="1" applyProtection="1">
      <alignment horizontal="center" vertical="center"/>
      <protection hidden="1"/>
    </xf>
    <xf numFmtId="0" fontId="52" fillId="24" borderId="42" xfId="4" applyFont="1" applyFill="1" applyBorder="1" applyAlignment="1">
      <alignment vertical="distributed" wrapText="1"/>
    </xf>
    <xf numFmtId="0" fontId="0" fillId="0" borderId="42" xfId="0" applyBorder="1"/>
    <xf numFmtId="0" fontId="0" fillId="10" borderId="0" xfId="0" applyFill="1" applyBorder="1"/>
    <xf numFmtId="0" fontId="0" fillId="10" borderId="0" xfId="0" applyFill="1"/>
    <xf numFmtId="0" fontId="0" fillId="10" borderId="43" xfId="0" applyFill="1" applyBorder="1"/>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53" fillId="0" borderId="48" xfId="0" applyFont="1" applyBorder="1" applyAlignment="1">
      <alignment horizontal="center" wrapText="1"/>
    </xf>
    <xf numFmtId="0" fontId="53" fillId="0" borderId="49" xfId="0" applyFont="1" applyBorder="1" applyAlignment="1">
      <alignment horizontal="center" wrapText="1"/>
    </xf>
    <xf numFmtId="0" fontId="53" fillId="0" borderId="50" xfId="0" applyFont="1" applyBorder="1" applyAlignment="1">
      <alignment horizontal="center" wrapText="1"/>
    </xf>
    <xf numFmtId="0" fontId="53" fillId="0" borderId="51" xfId="0" applyFont="1" applyBorder="1" applyAlignment="1">
      <alignment horizontal="center" wrapText="1"/>
    </xf>
    <xf numFmtId="0" fontId="0" fillId="0" borderId="48" xfId="0" applyBorder="1" applyAlignment="1">
      <alignment horizontal="center"/>
    </xf>
    <xf numFmtId="0" fontId="53" fillId="0" borderId="52" xfId="0" applyFont="1" applyBorder="1" applyAlignment="1">
      <alignment horizontal="center" wrapText="1"/>
    </xf>
    <xf numFmtId="0" fontId="53" fillId="0" borderId="53" xfId="0" applyFont="1" applyBorder="1" applyAlignment="1">
      <alignment horizontal="center" wrapText="1"/>
    </xf>
    <xf numFmtId="0" fontId="53" fillId="0" borderId="39" xfId="0" applyFont="1" applyBorder="1" applyAlignment="1">
      <alignment horizontal="center" wrapText="1"/>
    </xf>
    <xf numFmtId="0" fontId="53" fillId="0" borderId="54" xfId="0" applyFont="1" applyBorder="1" applyAlignment="1">
      <alignment horizontal="center" wrapText="1"/>
    </xf>
    <xf numFmtId="0" fontId="0" fillId="0" borderId="52" xfId="0" applyBorder="1" applyAlignment="1">
      <alignment horizontal="center"/>
    </xf>
    <xf numFmtId="0" fontId="53" fillId="0" borderId="55" xfId="0" applyFont="1" applyBorder="1" applyAlignment="1">
      <alignment horizontal="center" wrapText="1"/>
    </xf>
    <xf numFmtId="0" fontId="53" fillId="0" borderId="56" xfId="0" applyFont="1" applyBorder="1" applyAlignment="1">
      <alignment horizontal="center" wrapText="1"/>
    </xf>
    <xf numFmtId="0" fontId="53" fillId="0" borderId="57" xfId="0" applyFont="1" applyBorder="1" applyAlignment="1">
      <alignment horizontal="center" wrapText="1"/>
    </xf>
    <xf numFmtId="0" fontId="53" fillId="0" borderId="58" xfId="0" applyFont="1" applyBorder="1" applyAlignment="1">
      <alignment horizontal="center" wrapText="1"/>
    </xf>
    <xf numFmtId="0" fontId="0" fillId="0" borderId="55" xfId="0" applyBorder="1" applyAlignment="1">
      <alignment horizontal="center"/>
    </xf>
    <xf numFmtId="0" fontId="52" fillId="24" borderId="59" xfId="4" applyFont="1" applyFill="1" applyBorder="1" applyAlignment="1">
      <alignment vertical="distributed" wrapText="1"/>
    </xf>
    <xf numFmtId="0" fontId="54" fillId="0" borderId="49" xfId="0" applyFont="1" applyBorder="1" applyAlignment="1">
      <alignment horizontal="center" wrapText="1"/>
    </xf>
    <xf numFmtId="0" fontId="54" fillId="0" borderId="50" xfId="0" applyFont="1" applyBorder="1" applyAlignment="1">
      <alignment horizontal="center" wrapText="1"/>
    </xf>
    <xf numFmtId="0" fontId="54" fillId="0" borderId="51" xfId="0" applyFont="1" applyBorder="1" applyAlignment="1">
      <alignment horizontal="center" wrapText="1"/>
    </xf>
    <xf numFmtId="0" fontId="54" fillId="0" borderId="53" xfId="0" applyFont="1" applyBorder="1" applyAlignment="1">
      <alignment horizontal="center" wrapText="1"/>
    </xf>
    <xf numFmtId="0" fontId="54" fillId="0" borderId="39" xfId="0" applyFont="1" applyBorder="1" applyAlignment="1">
      <alignment horizontal="center" wrapText="1"/>
    </xf>
    <xf numFmtId="0" fontId="54" fillId="0" borderId="54" xfId="0" applyFont="1" applyBorder="1" applyAlignment="1">
      <alignment horizontal="center" wrapText="1"/>
    </xf>
    <xf numFmtId="0" fontId="54" fillId="0" borderId="56" xfId="0" applyFont="1" applyBorder="1" applyAlignment="1">
      <alignment horizontal="center" wrapText="1"/>
    </xf>
    <xf numFmtId="0" fontId="54" fillId="0" borderId="57" xfId="0" applyFont="1" applyBorder="1" applyAlignment="1">
      <alignment horizontal="center" wrapText="1"/>
    </xf>
    <xf numFmtId="0" fontId="54" fillId="0" borderId="58" xfId="0" applyFont="1" applyBorder="1" applyAlignment="1">
      <alignment horizontal="center" wrapText="1"/>
    </xf>
    <xf numFmtId="165" fontId="54" fillId="0" borderId="49" xfId="0" applyNumberFormat="1" applyFont="1" applyBorder="1" applyAlignment="1">
      <alignment horizontal="center" wrapText="1"/>
    </xf>
    <xf numFmtId="165" fontId="54" fillId="0" borderId="50" xfId="0" applyNumberFormat="1" applyFont="1" applyBorder="1" applyAlignment="1">
      <alignment horizontal="center" wrapText="1"/>
    </xf>
    <xf numFmtId="165" fontId="0" fillId="0" borderId="48" xfId="0" applyNumberFormat="1" applyBorder="1" applyAlignment="1">
      <alignment horizontal="center"/>
    </xf>
    <xf numFmtId="165" fontId="54" fillId="0" borderId="53" xfId="0" applyNumberFormat="1" applyFont="1" applyBorder="1" applyAlignment="1">
      <alignment horizontal="center" wrapText="1"/>
    </xf>
    <xf numFmtId="165" fontId="54" fillId="0" borderId="39" xfId="0" applyNumberFormat="1" applyFont="1" applyBorder="1" applyAlignment="1">
      <alignment horizontal="center" wrapText="1"/>
    </xf>
    <xf numFmtId="165" fontId="0" fillId="0" borderId="52" xfId="0" applyNumberFormat="1" applyBorder="1" applyAlignment="1">
      <alignment horizontal="center"/>
    </xf>
    <xf numFmtId="165" fontId="54" fillId="0" borderId="56" xfId="0" applyNumberFormat="1" applyFont="1" applyBorder="1" applyAlignment="1">
      <alignment horizontal="center" wrapText="1"/>
    </xf>
    <xf numFmtId="165" fontId="54" fillId="0" borderId="57" xfId="0" applyNumberFormat="1" applyFont="1" applyBorder="1" applyAlignment="1">
      <alignment horizontal="center" wrapText="1"/>
    </xf>
    <xf numFmtId="165" fontId="54" fillId="0" borderId="58" xfId="0" applyNumberFormat="1" applyFont="1" applyBorder="1" applyAlignment="1">
      <alignment horizontal="center" wrapText="1"/>
    </xf>
    <xf numFmtId="165" fontId="0" fillId="0" borderId="55" xfId="0" applyNumberFormat="1" applyBorder="1" applyAlignment="1">
      <alignment horizontal="center"/>
    </xf>
    <xf numFmtId="0" fontId="56" fillId="10" borderId="0" xfId="5" applyFill="1" applyAlignment="1" applyProtection="1"/>
    <xf numFmtId="167" fontId="13" fillId="23" borderId="40" xfId="4" applyNumberFormat="1" applyFont="1" applyFill="1" applyBorder="1" applyAlignment="1" applyProtection="1">
      <alignment horizontal="center" vertical="center" wrapText="1"/>
      <protection hidden="1"/>
    </xf>
    <xf numFmtId="0" fontId="1" fillId="10" borderId="0" xfId="0" applyFont="1" applyFill="1"/>
    <xf numFmtId="3" fontId="8" fillId="4" borderId="4" xfId="4" applyNumberFormat="1" applyFont="1" applyFill="1" applyBorder="1" applyAlignment="1" applyProtection="1">
      <alignment horizontal="center" vertical="center"/>
      <protection hidden="1"/>
    </xf>
    <xf numFmtId="167" fontId="13" fillId="17" borderId="4" xfId="4" applyNumberFormat="1" applyFont="1" applyFill="1" applyBorder="1" applyAlignment="1" applyProtection="1">
      <alignment horizontal="center" vertical="center" wrapText="1"/>
      <protection hidden="1"/>
    </xf>
    <xf numFmtId="0" fontId="37" fillId="17" borderId="4" xfId="4" applyFont="1" applyFill="1" applyBorder="1" applyAlignment="1" applyProtection="1">
      <alignment horizontal="center" vertical="center" wrapText="1"/>
      <protection hidden="1"/>
    </xf>
    <xf numFmtId="4" fontId="8" fillId="9" borderId="4" xfId="4" applyNumberFormat="1" applyFont="1" applyFill="1" applyBorder="1" applyAlignment="1" applyProtection="1">
      <alignment horizontal="center" vertical="center"/>
      <protection hidden="1"/>
    </xf>
    <xf numFmtId="10" fontId="8" fillId="9" borderId="4" xfId="1" applyNumberFormat="1" applyFont="1" applyFill="1" applyBorder="1" applyAlignment="1" applyProtection="1">
      <alignment horizontal="center" vertical="center"/>
      <protection hidden="1"/>
    </xf>
    <xf numFmtId="0" fontId="61" fillId="10" borderId="4"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3" fontId="14" fillId="20" borderId="4" xfId="0" applyNumberFormat="1" applyFont="1" applyFill="1" applyBorder="1" applyAlignment="1" applyProtection="1">
      <alignment horizontal="center" vertical="center" wrapText="1"/>
      <protection locked="0"/>
    </xf>
    <xf numFmtId="0" fontId="2" fillId="20" borderId="4" xfId="4" applyNumberFormat="1" applyFont="1" applyFill="1" applyBorder="1" applyAlignment="1" applyProtection="1">
      <alignment horizontal="center"/>
      <protection locked="0"/>
    </xf>
    <xf numFmtId="0" fontId="5" fillId="21" borderId="0" xfId="2" applyFont="1" applyFill="1" applyAlignment="1">
      <alignment horizontal="left" vertical="top" wrapText="1"/>
    </xf>
    <xf numFmtId="0" fontId="4" fillId="21" borderId="4" xfId="0" applyFont="1" applyFill="1" applyBorder="1" applyAlignment="1">
      <alignment horizontal="center" vertical="center"/>
    </xf>
    <xf numFmtId="0" fontId="2" fillId="11" borderId="61" xfId="2" applyFill="1" applyBorder="1" applyProtection="1">
      <protection hidden="1"/>
    </xf>
    <xf numFmtId="0" fontId="2" fillId="11" borderId="62" xfId="2" applyFill="1" applyBorder="1" applyProtection="1">
      <protection hidden="1"/>
    </xf>
    <xf numFmtId="0" fontId="2" fillId="11" borderId="0" xfId="2" applyFill="1" applyBorder="1" applyProtection="1">
      <protection hidden="1"/>
    </xf>
    <xf numFmtId="0" fontId="2" fillId="11" borderId="64" xfId="2" applyFill="1" applyBorder="1" applyProtection="1">
      <protection hidden="1"/>
    </xf>
    <xf numFmtId="0" fontId="2" fillId="11" borderId="26" xfId="2" applyFill="1" applyBorder="1" applyProtection="1">
      <protection hidden="1"/>
    </xf>
    <xf numFmtId="0" fontId="2" fillId="11" borderId="27" xfId="2" applyFill="1" applyBorder="1" applyProtection="1">
      <protection hidden="1"/>
    </xf>
    <xf numFmtId="0" fontId="13" fillId="21" borderId="0"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6" borderId="65" xfId="0" applyFont="1" applyFill="1" applyBorder="1" applyAlignment="1" applyProtection="1">
      <alignment horizontal="center" vertical="center"/>
      <protection hidden="1"/>
    </xf>
    <xf numFmtId="0" fontId="6" fillId="9" borderId="65" xfId="2" applyFont="1" applyFill="1" applyBorder="1" applyAlignment="1" applyProtection="1">
      <alignment horizontal="center" vertical="center" wrapText="1"/>
      <protection hidden="1"/>
    </xf>
    <xf numFmtId="0" fontId="4" fillId="6" borderId="65" xfId="0" applyFont="1" applyFill="1" applyBorder="1" applyAlignment="1">
      <alignment horizontal="center" vertical="center"/>
    </xf>
    <xf numFmtId="10" fontId="0" fillId="0" borderId="0" xfId="0" applyNumberFormat="1"/>
    <xf numFmtId="0" fontId="14" fillId="20" borderId="31" xfId="0" applyFont="1" applyFill="1" applyBorder="1" applyAlignment="1" applyProtection="1">
      <alignment horizontal="center" vertical="center" wrapText="1"/>
      <protection locked="0"/>
    </xf>
    <xf numFmtId="0" fontId="22" fillId="2" borderId="0" xfId="2" applyFont="1" applyFill="1" applyBorder="1" applyProtection="1">
      <protection hidden="1"/>
    </xf>
    <xf numFmtId="0" fontId="4" fillId="16" borderId="4" xfId="0" applyFont="1" applyFill="1" applyBorder="1" applyAlignment="1">
      <alignment horizontal="center" vertical="center"/>
    </xf>
    <xf numFmtId="0" fontId="22" fillId="9" borderId="4" xfId="2" applyFont="1" applyFill="1" applyBorder="1" applyAlignment="1">
      <alignment horizontal="center"/>
    </xf>
    <xf numFmtId="0" fontId="13" fillId="17" borderId="4" xfId="4" applyFont="1" applyFill="1" applyBorder="1" applyAlignment="1" applyProtection="1">
      <alignment horizontal="center" vertical="center" wrapText="1"/>
      <protection hidden="1"/>
    </xf>
    <xf numFmtId="0" fontId="9" fillId="16" borderId="0" xfId="0" applyFont="1" applyFill="1" applyBorder="1" applyAlignment="1" applyProtection="1">
      <alignment horizontal="left" vertical="center" indent="1"/>
      <protection hidden="1"/>
    </xf>
    <xf numFmtId="0" fontId="2" fillId="25" borderId="0" xfId="2" applyFill="1" applyProtection="1">
      <protection hidden="1"/>
    </xf>
    <xf numFmtId="0" fontId="2" fillId="26" borderId="0" xfId="2" applyFill="1" applyProtection="1">
      <protection hidden="1"/>
    </xf>
    <xf numFmtId="0" fontId="14" fillId="20" borderId="4" xfId="0" applyFont="1" applyFill="1" applyBorder="1" applyAlignment="1" applyProtection="1">
      <alignment horizontal="center" vertical="center" wrapText="1"/>
      <protection locked="0" hidden="1"/>
    </xf>
    <xf numFmtId="0" fontId="6" fillId="9" borderId="4" xfId="2" applyNumberFormat="1" applyFont="1" applyFill="1" applyBorder="1" applyAlignment="1" applyProtection="1">
      <alignment horizontal="center" vertical="center" wrapText="1"/>
      <protection hidden="1"/>
    </xf>
    <xf numFmtId="0" fontId="8" fillId="9" borderId="4" xfId="2" applyNumberFormat="1" applyFont="1" applyFill="1" applyBorder="1" applyAlignment="1" applyProtection="1">
      <alignment horizontal="center" vertical="center" wrapText="1"/>
      <protection hidden="1"/>
    </xf>
    <xf numFmtId="0" fontId="2" fillId="2" borderId="0" xfId="2" applyFont="1" applyFill="1" applyBorder="1" applyProtection="1">
      <protection hidden="1"/>
    </xf>
    <xf numFmtId="0" fontId="2" fillId="2" borderId="0" xfId="2" applyFont="1" applyFill="1" applyProtection="1">
      <protection hidden="1"/>
    </xf>
    <xf numFmtId="0" fontId="2" fillId="25" borderId="0" xfId="2" applyFill="1" applyBorder="1" applyProtection="1">
      <protection hidden="1"/>
    </xf>
    <xf numFmtId="0" fontId="2" fillId="25" borderId="3" xfId="2" applyFill="1" applyBorder="1" applyProtection="1">
      <protection hidden="1"/>
    </xf>
    <xf numFmtId="0" fontId="2" fillId="25" borderId="38" xfId="2" applyFill="1" applyBorder="1" applyProtection="1">
      <protection hidden="1"/>
    </xf>
    <xf numFmtId="0" fontId="2" fillId="26" borderId="0" xfId="2" applyFill="1" applyBorder="1" applyProtection="1">
      <protection hidden="1"/>
    </xf>
    <xf numFmtId="2" fontId="2" fillId="10" borderId="4" xfId="0" applyNumberFormat="1" applyFont="1" applyFill="1" applyBorder="1" applyAlignment="1" applyProtection="1">
      <alignment horizontal="center" vertical="center" wrapText="1"/>
      <protection hidden="1"/>
    </xf>
    <xf numFmtId="0" fontId="22" fillId="25" borderId="0" xfId="2" applyFont="1" applyFill="1" applyBorder="1" applyAlignment="1" applyProtection="1">
      <alignment horizontal="right"/>
      <protection hidden="1"/>
    </xf>
    <xf numFmtId="2" fontId="22" fillId="4" borderId="4" xfId="2" applyNumberFormat="1" applyFont="1" applyFill="1" applyBorder="1" applyAlignment="1" applyProtection="1">
      <alignment horizontal="center" vertical="center" wrapText="1"/>
      <protection hidden="1"/>
    </xf>
    <xf numFmtId="0" fontId="0" fillId="25" borderId="0" xfId="0" applyFill="1" applyProtection="1">
      <protection hidden="1"/>
    </xf>
    <xf numFmtId="0" fontId="4" fillId="21" borderId="4" xfId="0" applyFont="1" applyFill="1" applyBorder="1" applyAlignment="1" applyProtection="1">
      <alignment horizontal="center" vertical="center"/>
      <protection hidden="1"/>
    </xf>
    <xf numFmtId="0" fontId="22" fillId="26" borderId="0" xfId="2" applyFont="1" applyFill="1" applyBorder="1" applyProtection="1">
      <protection hidden="1"/>
    </xf>
    <xf numFmtId="0" fontId="2" fillId="25" borderId="0" xfId="2" applyFont="1" applyFill="1" applyBorder="1" applyAlignment="1" applyProtection="1">
      <alignment horizontal="left" indent="1"/>
      <protection hidden="1"/>
    </xf>
    <xf numFmtId="2" fontId="8" fillId="9" borderId="4" xfId="2" applyNumberFormat="1" applyFont="1" applyFill="1" applyBorder="1" applyAlignment="1" applyProtection="1">
      <alignment horizontal="center" vertical="center" wrapText="1"/>
      <protection hidden="1"/>
    </xf>
    <xf numFmtId="0" fontId="13" fillId="17" borderId="4" xfId="4" applyFont="1" applyFill="1" applyBorder="1" applyAlignment="1" applyProtection="1">
      <alignment horizontal="center" vertical="center" wrapText="1"/>
      <protection hidden="1"/>
    </xf>
    <xf numFmtId="0" fontId="13" fillId="17" borderId="10" xfId="4"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70" fillId="2" borderId="0" xfId="3" applyFont="1" applyFill="1" applyAlignment="1" applyProtection="1">
      <alignment horizontal="center"/>
      <protection hidden="1"/>
    </xf>
    <xf numFmtId="0" fontId="71" fillId="2" borderId="0" xfId="2" applyFont="1" applyFill="1" applyAlignment="1" applyProtection="1">
      <alignment horizontal="center"/>
      <protection hidden="1"/>
    </xf>
    <xf numFmtId="0" fontId="2" fillId="4" borderId="10" xfId="2" applyFont="1" applyFill="1" applyBorder="1" applyAlignment="1" applyProtection="1">
      <alignment horizontal="center" vertical="center" wrapText="1"/>
      <protection hidden="1"/>
    </xf>
    <xf numFmtId="0" fontId="2" fillId="27" borderId="0" xfId="2" applyFill="1" applyProtection="1">
      <protection hidden="1"/>
    </xf>
    <xf numFmtId="0" fontId="73" fillId="2" borderId="0" xfId="3" applyFont="1" applyFill="1" applyAlignment="1" applyProtection="1">
      <alignment horizontal="center"/>
      <protection hidden="1"/>
    </xf>
    <xf numFmtId="0" fontId="2" fillId="27" borderId="0" xfId="2" applyFill="1" applyBorder="1" applyProtection="1">
      <protection hidden="1"/>
    </xf>
    <xf numFmtId="0" fontId="9" fillId="16" borderId="0" xfId="0" applyFont="1" applyFill="1" applyBorder="1" applyAlignment="1" applyProtection="1">
      <alignment vertical="center"/>
      <protection hidden="1"/>
    </xf>
    <xf numFmtId="0" fontId="4" fillId="3" borderId="4" xfId="0" applyFont="1" applyFill="1" applyBorder="1" applyAlignment="1" applyProtection="1">
      <alignment horizontal="center" vertical="center"/>
      <protection hidden="1"/>
    </xf>
    <xf numFmtId="0" fontId="22" fillId="26" borderId="0" xfId="2" applyFont="1" applyFill="1" applyBorder="1" applyAlignment="1">
      <alignment horizontal="right"/>
    </xf>
    <xf numFmtId="0" fontId="22" fillId="11" borderId="1" xfId="2" applyFont="1" applyFill="1" applyBorder="1" applyAlignment="1" applyProtection="1">
      <alignment horizontal="center" vertical="center"/>
      <protection hidden="1"/>
    </xf>
    <xf numFmtId="164" fontId="8" fillId="9" borderId="4" xfId="1" applyNumberFormat="1" applyFont="1" applyFill="1" applyBorder="1" applyAlignment="1" applyProtection="1">
      <alignment horizontal="center" vertical="center"/>
      <protection hidden="1"/>
    </xf>
    <xf numFmtId="0" fontId="2" fillId="26" borderId="0" xfId="2" applyFill="1"/>
    <xf numFmtId="0" fontId="74" fillId="0" borderId="0" xfId="0" applyFont="1"/>
    <xf numFmtId="0" fontId="74" fillId="0" borderId="0" xfId="0" applyFont="1" applyAlignment="1"/>
    <xf numFmtId="0" fontId="2" fillId="25" borderId="0" xfId="2" applyFill="1" applyBorder="1"/>
    <xf numFmtId="0" fontId="2" fillId="25" borderId="0" xfId="2" applyFill="1" applyBorder="1" applyAlignment="1"/>
    <xf numFmtId="0" fontId="22" fillId="25" borderId="0" xfId="2" applyFont="1" applyFill="1" applyBorder="1"/>
    <xf numFmtId="0" fontId="22" fillId="25" borderId="0" xfId="2" applyFont="1" applyFill="1" applyProtection="1">
      <protection hidden="1"/>
    </xf>
    <xf numFmtId="0" fontId="76" fillId="2" borderId="0" xfId="3" applyFont="1" applyFill="1" applyAlignment="1" applyProtection="1">
      <alignment horizontal="center"/>
      <protection hidden="1"/>
    </xf>
    <xf numFmtId="0" fontId="14" fillId="20" borderId="4" xfId="0" applyFont="1" applyFill="1" applyBorder="1" applyAlignment="1" applyProtection="1">
      <alignment horizontal="center" vertical="center" wrapText="1"/>
      <protection locked="0"/>
    </xf>
    <xf numFmtId="4" fontId="2" fillId="20" borderId="4" xfId="4" applyNumberFormat="1" applyFont="1" applyFill="1" applyBorder="1" applyAlignment="1" applyProtection="1">
      <alignment horizontal="left" vertical="center" wrapText="1"/>
      <protection locked="0"/>
    </xf>
    <xf numFmtId="3" fontId="2" fillId="20" borderId="4" xfId="4" applyNumberFormat="1" applyFont="1" applyFill="1" applyBorder="1" applyAlignment="1" applyProtection="1">
      <alignment horizontal="center" vertical="center"/>
      <protection locked="0"/>
    </xf>
    <xf numFmtId="4" fontId="2" fillId="20" borderId="4" xfId="4" applyNumberFormat="1" applyFont="1" applyFill="1" applyBorder="1" applyAlignment="1" applyProtection="1">
      <alignment horizontal="center" vertical="center"/>
      <protection locked="0"/>
    </xf>
    <xf numFmtId="4" fontId="2" fillId="20" borderId="10" xfId="4" applyNumberFormat="1" applyFont="1" applyFill="1" applyBorder="1" applyAlignment="1" applyProtection="1">
      <alignment horizontal="center" vertical="center"/>
      <protection locked="0"/>
    </xf>
    <xf numFmtId="0" fontId="4" fillId="3" borderId="65" xfId="0" applyFont="1" applyFill="1" applyBorder="1" applyAlignment="1" applyProtection="1">
      <alignment horizontal="center" vertical="center"/>
      <protection hidden="1"/>
    </xf>
    <xf numFmtId="0" fontId="4" fillId="3" borderId="65" xfId="0" applyFont="1" applyFill="1" applyBorder="1" applyAlignment="1">
      <alignment horizontal="center" vertical="center"/>
    </xf>
    <xf numFmtId="0" fontId="5" fillId="3" borderId="0" xfId="2" applyFont="1" applyFill="1" applyAlignment="1">
      <alignment vertical="top" wrapText="1"/>
    </xf>
    <xf numFmtId="0" fontId="22"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protection hidden="1"/>
    </xf>
    <xf numFmtId="0" fontId="8" fillId="20" borderId="2" xfId="2" applyFont="1" applyFill="1" applyBorder="1" applyAlignment="1" applyProtection="1">
      <alignment horizontal="center" vertical="center"/>
      <protection locked="0"/>
    </xf>
    <xf numFmtId="0" fontId="4" fillId="6" borderId="4" xfId="0" applyFont="1" applyFill="1" applyBorder="1" applyAlignment="1" applyProtection="1">
      <alignment horizontal="center" vertical="center"/>
      <protection hidden="1"/>
    </xf>
    <xf numFmtId="0" fontId="4" fillId="6" borderId="4" xfId="0" applyFont="1" applyFill="1" applyBorder="1" applyAlignment="1">
      <alignment horizontal="center" vertical="center"/>
    </xf>
    <xf numFmtId="0" fontId="4" fillId="3" borderId="4" xfId="0" applyFont="1" applyFill="1" applyBorder="1" applyAlignment="1">
      <alignment horizontal="center" vertical="center"/>
    </xf>
    <xf numFmtId="0" fontId="14" fillId="20" borderId="4" xfId="0" applyFont="1" applyFill="1" applyBorder="1" applyAlignment="1" applyProtection="1">
      <alignment horizontal="center" vertical="center" wrapText="1"/>
      <protection locked="0"/>
    </xf>
    <xf numFmtId="0" fontId="13" fillId="6" borderId="0" xfId="0" applyFont="1" applyFill="1" applyBorder="1" applyAlignment="1" applyProtection="1">
      <alignment horizontal="center" vertical="center" wrapText="1"/>
      <protection hidden="1"/>
    </xf>
    <xf numFmtId="0" fontId="7" fillId="2" borderId="0" xfId="2" applyFont="1" applyFill="1" applyProtection="1">
      <protection hidden="1"/>
    </xf>
    <xf numFmtId="0" fontId="7" fillId="2" borderId="0" xfId="2" applyFont="1" applyFill="1" applyBorder="1" applyProtection="1">
      <protection hidden="1"/>
    </xf>
    <xf numFmtId="0" fontId="0" fillId="26" borderId="0" xfId="0" applyFill="1"/>
    <xf numFmtId="0" fontId="2" fillId="21" borderId="0" xfId="2" applyFill="1"/>
    <xf numFmtId="0" fontId="14" fillId="20" borderId="4" xfId="0" applyFont="1" applyFill="1" applyBorder="1" applyAlignment="1" applyProtection="1">
      <alignment horizontal="center" vertical="center" wrapText="1"/>
      <protection locked="0"/>
    </xf>
    <xf numFmtId="0" fontId="14" fillId="20" borderId="65" xfId="0" applyFont="1" applyFill="1" applyBorder="1" applyAlignment="1" applyProtection="1">
      <alignment horizontal="center" vertical="center" wrapText="1"/>
      <protection locked="0"/>
    </xf>
    <xf numFmtId="0" fontId="9" fillId="5" borderId="0" xfId="0" applyFont="1" applyFill="1" applyBorder="1" applyAlignment="1" applyProtection="1">
      <alignment vertical="center"/>
      <protection hidden="1"/>
    </xf>
    <xf numFmtId="0" fontId="9" fillId="5" borderId="0" xfId="0" applyFont="1" applyFill="1" applyBorder="1" applyAlignment="1" applyProtection="1">
      <alignment horizontal="left" vertical="center" indent="1"/>
      <protection hidden="1"/>
    </xf>
    <xf numFmtId="0" fontId="4" fillId="5" borderId="65" xfId="0" applyFont="1" applyFill="1" applyBorder="1" applyAlignment="1" applyProtection="1">
      <alignment horizontal="center" vertical="center"/>
      <protection hidden="1"/>
    </xf>
    <xf numFmtId="10" fontId="8" fillId="9" borderId="65" xfId="1" applyNumberFormat="1" applyFont="1" applyFill="1" applyBorder="1" applyAlignment="1" applyProtection="1">
      <alignment horizontal="center" vertical="center" wrapText="1"/>
      <protection hidden="1"/>
    </xf>
    <xf numFmtId="0" fontId="10" fillId="5" borderId="0" xfId="0" applyFont="1" applyFill="1" applyBorder="1" applyAlignment="1" applyProtection="1">
      <alignment horizontal="left" vertical="center" indent="1"/>
      <protection hidden="1"/>
    </xf>
    <xf numFmtId="0" fontId="22" fillId="11" borderId="1" xfId="2" applyFont="1" applyFill="1" applyBorder="1" applyAlignment="1" applyProtection="1">
      <alignment horizontal="center" vertical="center"/>
      <protection hidden="1"/>
    </xf>
    <xf numFmtId="0" fontId="11" fillId="5" borderId="4" xfId="0" applyFont="1" applyFill="1" applyBorder="1" applyAlignment="1" applyProtection="1">
      <alignment horizontal="left" vertical="center" wrapText="1" indent="1"/>
      <protection hidden="1"/>
    </xf>
    <xf numFmtId="0" fontId="5" fillId="13" borderId="0" xfId="2" applyFont="1" applyFill="1" applyAlignment="1">
      <alignment horizontal="center" vertical="center" wrapText="1"/>
    </xf>
    <xf numFmtId="0" fontId="50" fillId="13" borderId="0" xfId="2" applyFont="1" applyFill="1" applyAlignment="1">
      <alignment horizontal="left" vertical="center"/>
    </xf>
    <xf numFmtId="0" fontId="5" fillId="13" borderId="0" xfId="2" applyFont="1" applyFill="1" applyAlignment="1">
      <alignment horizontal="left" vertical="top" wrapText="1"/>
    </xf>
    <xf numFmtId="0" fontId="50" fillId="3" borderId="0" xfId="2" applyFont="1" applyFill="1" applyAlignment="1">
      <alignment horizontal="left" vertical="center" wrapText="1"/>
    </xf>
    <xf numFmtId="0" fontId="5" fillId="3" borderId="0" xfId="2" applyFont="1" applyFill="1" applyAlignment="1">
      <alignment horizontal="left" vertical="center" wrapText="1"/>
    </xf>
    <xf numFmtId="0" fontId="14" fillId="20" borderId="4" xfId="0" applyFont="1" applyFill="1" applyBorder="1" applyAlignment="1" applyProtection="1">
      <alignment horizontal="center" vertical="center" wrapText="1"/>
      <protection locked="0"/>
    </xf>
    <xf numFmtId="166" fontId="14" fillId="10" borderId="77" xfId="0" applyNumberFormat="1" applyFont="1" applyFill="1" applyBorder="1" applyAlignment="1" applyProtection="1">
      <alignment horizontal="center" vertical="center" wrapText="1"/>
      <protection hidden="1"/>
    </xf>
    <xf numFmtId="164" fontId="8" fillId="9" borderId="65" xfId="1" applyNumberFormat="1" applyFont="1" applyFill="1" applyBorder="1" applyAlignment="1" applyProtection="1">
      <alignment horizontal="center" vertical="center"/>
      <protection hidden="1"/>
    </xf>
    <xf numFmtId="0" fontId="2" fillId="25" borderId="0" xfId="2" applyFill="1" applyAlignment="1" applyProtection="1">
      <alignment horizontal="left" indent="1"/>
      <protection hidden="1"/>
    </xf>
    <xf numFmtId="0" fontId="40" fillId="16" borderId="0" xfId="0" applyFont="1" applyFill="1" applyBorder="1" applyAlignment="1" applyProtection="1">
      <alignment horizontal="left" vertical="center" indent="1"/>
      <protection hidden="1"/>
    </xf>
    <xf numFmtId="0" fontId="22" fillId="2" borderId="0" xfId="0" applyFont="1" applyFill="1" applyBorder="1" applyAlignment="1" applyProtection="1">
      <alignment horizontal="left" vertical="center" wrapText="1"/>
      <protection hidden="1"/>
    </xf>
    <xf numFmtId="0" fontId="22" fillId="11" borderId="1" xfId="2" applyFont="1" applyFill="1" applyBorder="1" applyAlignment="1" applyProtection="1">
      <alignment horizontal="center" vertical="center"/>
      <protection hidden="1"/>
    </xf>
    <xf numFmtId="0" fontId="0" fillId="11" borderId="0" xfId="0" applyFont="1" applyFill="1" applyProtection="1">
      <protection hidden="1"/>
    </xf>
    <xf numFmtId="0" fontId="0" fillId="0" borderId="0" xfId="0" applyFont="1"/>
    <xf numFmtId="0" fontId="0" fillId="11" borderId="0" xfId="0" applyFont="1" applyFill="1" applyAlignment="1" applyProtection="1">
      <alignment vertical="top" wrapText="1"/>
      <protection hidden="1"/>
    </xf>
    <xf numFmtId="0" fontId="4" fillId="5" borderId="4" xfId="0" applyFont="1" applyFill="1" applyBorder="1" applyAlignment="1" applyProtection="1">
      <alignment horizontal="center" vertical="center"/>
      <protection hidden="1"/>
    </xf>
    <xf numFmtId="0" fontId="21" fillId="2" borderId="0" xfId="2" applyFont="1" applyFill="1" applyProtection="1">
      <protection hidden="1"/>
    </xf>
    <xf numFmtId="0" fontId="5" fillId="13" borderId="0" xfId="2" applyFont="1" applyFill="1" applyAlignment="1">
      <alignment horizontal="left" vertical="top" wrapText="1"/>
    </xf>
    <xf numFmtId="0" fontId="2" fillId="2" borderId="0" xfId="0" applyFont="1" applyFill="1" applyBorder="1" applyAlignment="1" applyProtection="1">
      <alignment horizontal="left" vertical="center"/>
      <protection hidden="1"/>
    </xf>
    <xf numFmtId="9" fontId="8" fillId="9" borderId="4" xfId="1" applyFont="1" applyFill="1" applyBorder="1" applyAlignment="1" applyProtection="1">
      <alignment horizontal="center" vertical="center" wrapText="1"/>
      <protection hidden="1"/>
    </xf>
    <xf numFmtId="2" fontId="14" fillId="20" borderId="4" xfId="0" applyNumberFormat="1" applyFont="1" applyFill="1" applyBorder="1" applyAlignment="1" applyProtection="1">
      <alignment horizontal="center" vertical="center" wrapText="1"/>
      <protection locked="0" hidden="1"/>
    </xf>
    <xf numFmtId="2" fontId="8" fillId="9" borderId="4" xfId="1" applyNumberFormat="1" applyFont="1" applyFill="1" applyBorder="1" applyAlignment="1" applyProtection="1">
      <alignment horizontal="center" vertical="center" wrapText="1"/>
      <protection hidden="1"/>
    </xf>
    <xf numFmtId="0" fontId="72" fillId="2" borderId="0" xfId="2" applyFont="1" applyFill="1" applyAlignment="1" applyProtection="1">
      <alignment vertical="center" wrapText="1"/>
      <protection hidden="1"/>
    </xf>
    <xf numFmtId="0" fontId="72" fillId="2" borderId="26" xfId="2" applyFont="1" applyFill="1" applyBorder="1" applyAlignment="1" applyProtection="1">
      <alignment vertical="center" wrapText="1"/>
      <protection hidden="1"/>
    </xf>
    <xf numFmtId="0" fontId="8" fillId="9" borderId="4" xfId="1" applyNumberFormat="1" applyFont="1" applyFill="1" applyBorder="1" applyAlignment="1" applyProtection="1">
      <alignment horizontal="center" vertical="center" wrapText="1"/>
      <protection hidden="1"/>
    </xf>
    <xf numFmtId="0" fontId="4" fillId="13" borderId="65" xfId="0" applyFont="1" applyFill="1" applyBorder="1" applyAlignment="1" applyProtection="1">
      <alignment horizontal="center" vertical="center"/>
      <protection hidden="1"/>
    </xf>
    <xf numFmtId="0" fontId="4" fillId="13" borderId="65" xfId="0" applyFont="1" applyFill="1" applyBorder="1" applyAlignment="1">
      <alignment horizontal="center" vertical="center"/>
    </xf>
    <xf numFmtId="0" fontId="20" fillId="13" borderId="30" xfId="2" applyFont="1" applyFill="1" applyBorder="1" applyAlignment="1" applyProtection="1">
      <alignment horizontal="center" vertical="center" wrapText="1"/>
      <protection hidden="1"/>
    </xf>
    <xf numFmtId="0" fontId="2" fillId="20" borderId="5" xfId="2" applyFont="1" applyFill="1" applyBorder="1" applyAlignment="1" applyProtection="1">
      <alignment horizontal="center" vertical="center"/>
      <protection locked="0"/>
    </xf>
    <xf numFmtId="0" fontId="4" fillId="13" borderId="4" xfId="0" applyFont="1" applyFill="1" applyBorder="1" applyAlignment="1" applyProtection="1">
      <alignment horizontal="center" vertical="center"/>
      <protection hidden="1"/>
    </xf>
    <xf numFmtId="0" fontId="4" fillId="13" borderId="4" xfId="0" applyFont="1" applyFill="1" applyBorder="1" applyAlignment="1">
      <alignment horizontal="center" vertical="center"/>
    </xf>
    <xf numFmtId="164" fontId="8" fillId="4" borderId="4" xfId="1" applyNumberFormat="1" applyFont="1" applyFill="1" applyBorder="1" applyAlignment="1">
      <alignment horizontal="center" vertical="center" wrapText="1"/>
    </xf>
    <xf numFmtId="0" fontId="22" fillId="2" borderId="0" xfId="2" applyFont="1" applyFill="1" applyBorder="1" applyAlignment="1"/>
    <xf numFmtId="0" fontId="22" fillId="11" borderId="1" xfId="2" applyFont="1" applyFill="1" applyBorder="1" applyAlignment="1" applyProtection="1">
      <alignment horizontal="center" vertical="center"/>
      <protection hidden="1"/>
    </xf>
    <xf numFmtId="0" fontId="4" fillId="16" borderId="10" xfId="0" applyFont="1" applyFill="1" applyBorder="1" applyAlignment="1" applyProtection="1">
      <alignment horizontal="center" vertical="center"/>
      <protection hidden="1"/>
    </xf>
    <xf numFmtId="166" fontId="14" fillId="10" borderId="65" xfId="0" applyNumberFormat="1" applyFont="1" applyFill="1" applyBorder="1" applyAlignment="1" applyProtection="1">
      <alignment horizontal="center" vertical="center" wrapText="1"/>
      <protection hidden="1"/>
    </xf>
    <xf numFmtId="0" fontId="14" fillId="4" borderId="4" xfId="0" applyFont="1" applyFill="1" applyBorder="1" applyAlignment="1" applyProtection="1">
      <alignment horizontal="center" vertical="center" wrapText="1"/>
      <protection hidden="1"/>
    </xf>
    <xf numFmtId="0" fontId="22" fillId="4" borderId="4" xfId="2" applyFont="1" applyFill="1" applyBorder="1" applyAlignment="1" applyProtection="1">
      <alignment horizontal="center" vertical="center" wrapText="1"/>
      <protection hidden="1"/>
    </xf>
    <xf numFmtId="0" fontId="22"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11" fillId="5" borderId="32" xfId="2" applyFont="1" applyFill="1" applyBorder="1"/>
    <xf numFmtId="0" fontId="50" fillId="5" borderId="34" xfId="2" applyFont="1" applyFill="1" applyBorder="1" applyAlignment="1">
      <alignment horizontal="left" vertical="center" wrapText="1"/>
    </xf>
    <xf numFmtId="0" fontId="11" fillId="5" borderId="38" xfId="2" applyFont="1" applyFill="1" applyBorder="1"/>
    <xf numFmtId="0" fontId="50" fillId="5" borderId="22" xfId="2" applyFont="1" applyFill="1" applyBorder="1" applyAlignment="1">
      <alignment horizontal="left" vertical="center" wrapText="1"/>
    </xf>
    <xf numFmtId="0" fontId="50" fillId="5" borderId="0" xfId="2" applyFont="1" applyFill="1" applyBorder="1" applyAlignment="1">
      <alignment vertical="center" wrapText="1"/>
    </xf>
    <xf numFmtId="0" fontId="50" fillId="5" borderId="22" xfId="2" applyFont="1" applyFill="1" applyBorder="1" applyAlignment="1">
      <alignment vertical="center" wrapText="1"/>
    </xf>
    <xf numFmtId="0" fontId="5" fillId="5" borderId="22" xfId="2" applyFont="1" applyFill="1" applyBorder="1" applyAlignment="1">
      <alignment horizontal="left" vertical="top" wrapText="1"/>
    </xf>
    <xf numFmtId="0" fontId="5" fillId="5" borderId="38" xfId="2" applyFont="1" applyFill="1" applyBorder="1" applyAlignment="1">
      <alignment horizontal="left" vertical="center" wrapText="1" indent="11"/>
    </xf>
    <xf numFmtId="0" fontId="5" fillId="5" borderId="35" xfId="2" applyFont="1" applyFill="1" applyBorder="1" applyAlignment="1">
      <alignment horizontal="left" vertical="center" wrapText="1" indent="11"/>
    </xf>
    <xf numFmtId="0" fontId="5" fillId="5" borderId="36" xfId="2" applyFont="1" applyFill="1" applyBorder="1" applyAlignment="1">
      <alignment horizontal="left" vertical="top" wrapText="1"/>
    </xf>
    <xf numFmtId="0" fontId="2" fillId="2" borderId="32" xfId="2" applyFont="1" applyFill="1" applyBorder="1"/>
    <xf numFmtId="0" fontId="2" fillId="2" borderId="33" xfId="2" applyFont="1" applyFill="1" applyBorder="1"/>
    <xf numFmtId="0" fontId="2" fillId="2" borderId="34" xfId="2" applyFont="1" applyFill="1" applyBorder="1"/>
    <xf numFmtId="0" fontId="2" fillId="2" borderId="38" xfId="2" applyFont="1" applyFill="1" applyBorder="1"/>
    <xf numFmtId="0" fontId="2" fillId="2" borderId="0" xfId="2" applyFont="1" applyFill="1" applyBorder="1"/>
    <xf numFmtId="0" fontId="2" fillId="2" borderId="22" xfId="2" applyFont="1" applyFill="1" applyBorder="1"/>
    <xf numFmtId="0" fontId="2" fillId="2" borderId="35" xfId="2" applyFont="1" applyFill="1" applyBorder="1"/>
    <xf numFmtId="0" fontId="2" fillId="2" borderId="3" xfId="2" applyFont="1" applyFill="1" applyBorder="1"/>
    <xf numFmtId="0" fontId="2" fillId="2" borderId="36" xfId="2" applyFont="1" applyFill="1" applyBorder="1"/>
    <xf numFmtId="0" fontId="5" fillId="5" borderId="0" xfId="2" applyFont="1" applyFill="1" applyBorder="1" applyAlignment="1">
      <alignment vertical="top" wrapText="1"/>
    </xf>
    <xf numFmtId="0" fontId="5" fillId="5" borderId="3" xfId="2" applyFont="1" applyFill="1" applyBorder="1" applyAlignment="1">
      <alignment vertical="top" wrapText="1"/>
    </xf>
    <xf numFmtId="0" fontId="5" fillId="21" borderId="0" xfId="2" applyFont="1" applyFill="1" applyAlignment="1">
      <alignment vertical="top" wrapText="1"/>
    </xf>
    <xf numFmtId="0" fontId="11" fillId="21" borderId="32" xfId="2" applyFont="1" applyFill="1" applyBorder="1"/>
    <xf numFmtId="0" fontId="50" fillId="21" borderId="34" xfId="2" applyFont="1" applyFill="1" applyBorder="1" applyAlignment="1">
      <alignment horizontal="left" vertical="center"/>
    </xf>
    <xf numFmtId="0" fontId="11" fillId="21" borderId="38" xfId="2" applyFont="1" applyFill="1" applyBorder="1"/>
    <xf numFmtId="0" fontId="50" fillId="21" borderId="22" xfId="2" applyFont="1" applyFill="1" applyBorder="1" applyAlignment="1">
      <alignment horizontal="left" vertical="center"/>
    </xf>
    <xf numFmtId="0" fontId="5" fillId="21" borderId="22" xfId="2" applyFont="1" applyFill="1" applyBorder="1" applyAlignment="1">
      <alignment horizontal="left" vertical="top" wrapText="1"/>
    </xf>
    <xf numFmtId="0" fontId="5" fillId="21" borderId="38" xfId="2" applyFont="1" applyFill="1" applyBorder="1" applyAlignment="1">
      <alignment horizontal="left" vertical="center" wrapText="1" indent="11"/>
    </xf>
    <xf numFmtId="0" fontId="5" fillId="21" borderId="0" xfId="2" applyFont="1" applyFill="1" applyBorder="1" applyAlignment="1">
      <alignment vertical="top" wrapText="1"/>
    </xf>
    <xf numFmtId="0" fontId="5" fillId="21" borderId="35" xfId="2" applyFont="1" applyFill="1" applyBorder="1" applyAlignment="1">
      <alignment horizontal="left" vertical="center" wrapText="1" indent="11"/>
    </xf>
    <xf numFmtId="0" fontId="5" fillId="21" borderId="3" xfId="2" applyFont="1" applyFill="1" applyBorder="1" applyAlignment="1">
      <alignment vertical="top" wrapText="1"/>
    </xf>
    <xf numFmtId="0" fontId="5" fillId="21" borderId="36" xfId="2" applyFont="1" applyFill="1" applyBorder="1" applyAlignment="1">
      <alignment horizontal="left" vertical="top" wrapText="1"/>
    </xf>
    <xf numFmtId="0" fontId="7" fillId="2" borderId="0" xfId="2" applyFont="1" applyFill="1" applyBorder="1" applyAlignment="1">
      <alignment horizontal="left" vertical="center" wrapText="1"/>
    </xf>
    <xf numFmtId="0" fontId="7" fillId="2" borderId="22" xfId="2" applyFont="1" applyFill="1" applyBorder="1" applyAlignment="1">
      <alignment horizontal="left" vertical="center" wrapText="1"/>
    </xf>
    <xf numFmtId="0" fontId="11" fillId="16" borderId="32" xfId="2" applyFont="1" applyFill="1" applyBorder="1"/>
    <xf numFmtId="0" fontId="50" fillId="16" borderId="34" xfId="2" applyFont="1" applyFill="1" applyBorder="1" applyAlignment="1">
      <alignment horizontal="left" vertical="center"/>
    </xf>
    <xf numFmtId="0" fontId="11" fillId="16" borderId="38" xfId="2" applyFont="1" applyFill="1" applyBorder="1"/>
    <xf numFmtId="0" fontId="50" fillId="16" borderId="22" xfId="2" applyFont="1" applyFill="1" applyBorder="1" applyAlignment="1">
      <alignment horizontal="left" vertical="center"/>
    </xf>
    <xf numFmtId="0" fontId="5" fillId="16" borderId="22" xfId="2" applyFont="1" applyFill="1" applyBorder="1" applyAlignment="1">
      <alignment horizontal="left" vertical="top" wrapText="1"/>
    </xf>
    <xf numFmtId="0" fontId="5" fillId="16" borderId="38" xfId="2" applyFont="1" applyFill="1" applyBorder="1" applyAlignment="1">
      <alignment horizontal="left" vertical="center" wrapText="1" indent="11"/>
    </xf>
    <xf numFmtId="0" fontId="5" fillId="16" borderId="0" xfId="2" applyFont="1" applyFill="1" applyBorder="1" applyAlignment="1">
      <alignment vertical="top" wrapText="1"/>
    </xf>
    <xf numFmtId="0" fontId="5" fillId="16" borderId="22" xfId="2" applyFont="1" applyFill="1" applyBorder="1" applyAlignment="1">
      <alignment vertical="top" wrapText="1"/>
    </xf>
    <xf numFmtId="0" fontId="5" fillId="16" borderId="36" xfId="2" applyFont="1" applyFill="1" applyBorder="1" applyAlignment="1">
      <alignment horizontal="center" vertical="center" wrapText="1"/>
    </xf>
    <xf numFmtId="0" fontId="2" fillId="28" borderId="0" xfId="2" applyFill="1" applyBorder="1" applyProtection="1">
      <protection hidden="1"/>
    </xf>
    <xf numFmtId="0" fontId="49" fillId="16" borderId="4" xfId="0" applyFont="1" applyFill="1" applyBorder="1" applyAlignment="1">
      <alignment horizontal="center" vertical="center" wrapText="1"/>
    </xf>
    <xf numFmtId="0" fontId="14" fillId="15" borderId="4" xfId="0" applyFont="1" applyFill="1" applyBorder="1" applyAlignment="1">
      <alignment horizontal="center" vertical="center" wrapText="1"/>
    </xf>
    <xf numFmtId="0" fontId="2" fillId="11" borderId="26" xfId="2" applyFont="1" applyFill="1" applyBorder="1"/>
    <xf numFmtId="0" fontId="22" fillId="28" borderId="0" xfId="2" applyFont="1" applyFill="1" applyBorder="1" applyProtection="1">
      <protection hidden="1"/>
    </xf>
    <xf numFmtId="0" fontId="13" fillId="13" borderId="77" xfId="0" applyFont="1" applyFill="1" applyBorder="1" applyAlignment="1" applyProtection="1">
      <alignment horizontal="center" vertical="center" wrapText="1"/>
      <protection hidden="1"/>
    </xf>
    <xf numFmtId="0" fontId="13" fillId="13" borderId="79" xfId="0" applyFont="1" applyFill="1" applyBorder="1" applyAlignment="1" applyProtection="1">
      <alignment horizontal="center" vertical="center" wrapText="1"/>
      <protection hidden="1"/>
    </xf>
    <xf numFmtId="0" fontId="49" fillId="6" borderId="65" xfId="0" applyFont="1" applyFill="1" applyBorder="1" applyAlignment="1">
      <alignment horizontal="center" vertical="center" wrapText="1"/>
    </xf>
    <xf numFmtId="0" fontId="86" fillId="15" borderId="65" xfId="0" applyFont="1" applyFill="1" applyBorder="1" applyAlignment="1">
      <alignment horizontal="center" vertical="center" wrapText="1"/>
    </xf>
    <xf numFmtId="0" fontId="13" fillId="21" borderId="10" xfId="0" applyFont="1" applyFill="1" applyBorder="1" applyAlignment="1" applyProtection="1">
      <alignment horizontal="center" vertical="center"/>
      <protection hidden="1"/>
    </xf>
    <xf numFmtId="0" fontId="60" fillId="11" borderId="0" xfId="0" applyFont="1" applyFill="1"/>
    <xf numFmtId="0" fontId="63" fillId="6" borderId="0" xfId="2" applyFont="1" applyFill="1"/>
    <xf numFmtId="0" fontId="0" fillId="11" borderId="0" xfId="0" applyFont="1" applyFill="1"/>
    <xf numFmtId="0" fontId="88" fillId="6" borderId="0" xfId="0" applyFont="1" applyFill="1" applyBorder="1" applyAlignment="1" applyProtection="1">
      <alignment vertical="center"/>
      <protection hidden="1"/>
    </xf>
    <xf numFmtId="0" fontId="90" fillId="6" borderId="0" xfId="0" applyFont="1" applyFill="1" applyBorder="1" applyAlignment="1" applyProtection="1">
      <alignment vertical="center"/>
      <protection hidden="1"/>
    </xf>
    <xf numFmtId="0" fontId="82" fillId="11" borderId="0" xfId="0" applyFont="1" applyFill="1"/>
    <xf numFmtId="0" fontId="14" fillId="20" borderId="65" xfId="0" applyFont="1" applyFill="1" applyBorder="1" applyAlignment="1" applyProtection="1">
      <alignment horizontal="center" vertical="center" wrapText="1"/>
      <protection hidden="1"/>
    </xf>
    <xf numFmtId="0" fontId="11" fillId="7" borderId="32" xfId="2" applyFont="1" applyFill="1" applyBorder="1"/>
    <xf numFmtId="0" fontId="50" fillId="7" borderId="34" xfId="2" applyFont="1" applyFill="1" applyBorder="1" applyAlignment="1">
      <alignment horizontal="left" vertical="center"/>
    </xf>
    <xf numFmtId="0" fontId="11" fillId="7" borderId="38" xfId="2" applyFont="1" applyFill="1" applyBorder="1"/>
    <xf numFmtId="0" fontId="50" fillId="7" borderId="22" xfId="2" applyFont="1" applyFill="1" applyBorder="1" applyAlignment="1">
      <alignment horizontal="left" vertical="center"/>
    </xf>
    <xf numFmtId="0" fontId="5" fillId="7" borderId="22" xfId="2" applyFont="1" applyFill="1" applyBorder="1" applyAlignment="1">
      <alignment horizontal="left" vertical="top" wrapText="1"/>
    </xf>
    <xf numFmtId="0" fontId="5" fillId="7" borderId="38" xfId="2" applyFont="1" applyFill="1" applyBorder="1" applyAlignment="1">
      <alignment horizontal="left" vertical="center" wrapText="1" indent="11"/>
    </xf>
    <xf numFmtId="0" fontId="5" fillId="7" borderId="0" xfId="2" applyFont="1" applyFill="1" applyBorder="1" applyAlignment="1">
      <alignment vertical="top" wrapText="1"/>
    </xf>
    <xf numFmtId="0" fontId="5" fillId="7" borderId="22" xfId="2" applyFont="1" applyFill="1" applyBorder="1" applyAlignment="1">
      <alignment vertical="top" wrapText="1"/>
    </xf>
    <xf numFmtId="0" fontId="5" fillId="7" borderId="36" xfId="2" applyFont="1" applyFill="1" applyBorder="1" applyAlignment="1">
      <alignment horizontal="center" vertical="center" wrapText="1"/>
    </xf>
    <xf numFmtId="166" fontId="14" fillId="10" borderId="86" xfId="0" applyNumberFormat="1" applyFont="1" applyFill="1" applyBorder="1" applyAlignment="1" applyProtection="1">
      <alignment horizontal="center" vertical="center" wrapText="1"/>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93" fillId="29" borderId="0" xfId="0" applyFont="1" applyFill="1" applyAlignment="1">
      <alignment vertical="center"/>
    </xf>
    <xf numFmtId="0" fontId="94" fillId="11" borderId="0" xfId="0" applyFont="1" applyFill="1"/>
    <xf numFmtId="2" fontId="2" fillId="4" borderId="4" xfId="1" applyNumberFormat="1" applyFont="1" applyFill="1" applyBorder="1" applyAlignment="1" applyProtection="1">
      <alignment horizontal="center" vertical="center" wrapText="1"/>
      <protection hidden="1"/>
    </xf>
    <xf numFmtId="164" fontId="8" fillId="9" borderId="4" xfId="1" applyNumberFormat="1" applyFont="1" applyFill="1" applyBorder="1" applyAlignment="1" applyProtection="1">
      <alignment horizontal="center" vertical="center" wrapText="1"/>
      <protection hidden="1"/>
    </xf>
    <xf numFmtId="0" fontId="89" fillId="6" borderId="0" xfId="0" applyFont="1" applyFill="1" applyBorder="1" applyAlignment="1" applyProtection="1">
      <alignment vertical="center"/>
      <protection hidden="1"/>
    </xf>
    <xf numFmtId="0" fontId="8" fillId="9" borderId="4" xfId="2" applyFont="1" applyFill="1" applyBorder="1" applyAlignment="1" applyProtection="1">
      <alignment horizontal="center" vertical="center" wrapText="1"/>
      <protection hidden="1"/>
    </xf>
    <xf numFmtId="10" fontId="19" fillId="9" borderId="4" xfId="1" applyNumberFormat="1" applyFont="1" applyFill="1" applyBorder="1" applyAlignment="1" applyProtection="1">
      <alignment horizontal="center" vertical="center" wrapText="1"/>
      <protection hidden="1"/>
    </xf>
    <xf numFmtId="0" fontId="2" fillId="10" borderId="4" xfId="2" applyFont="1" applyFill="1" applyBorder="1" applyAlignment="1" applyProtection="1">
      <alignment horizontal="center" vertical="center" wrapText="1"/>
      <protection hidden="1"/>
    </xf>
    <xf numFmtId="166" fontId="14" fillId="20" borderId="31" xfId="0" applyNumberFormat="1" applyFont="1" applyFill="1" applyBorder="1" applyAlignment="1" applyProtection="1">
      <alignment horizontal="center" vertical="center" wrapText="1"/>
      <protection locked="0"/>
    </xf>
    <xf numFmtId="0" fontId="11" fillId="6" borderId="3" xfId="0" applyFont="1" applyFill="1" applyBorder="1" applyAlignment="1">
      <alignment horizontal="center" vertical="center"/>
    </xf>
    <xf numFmtId="0" fontId="20" fillId="7" borderId="30" xfId="2" applyFont="1" applyFill="1" applyBorder="1" applyAlignment="1" applyProtection="1">
      <alignment horizontal="center" vertical="center" wrapText="1"/>
      <protection hidden="1"/>
    </xf>
    <xf numFmtId="0" fontId="4" fillId="7" borderId="65" xfId="0" applyFont="1" applyFill="1" applyBorder="1" applyAlignment="1" applyProtection="1">
      <alignment horizontal="center" vertical="center"/>
      <protection hidden="1"/>
    </xf>
    <xf numFmtId="0" fontId="2" fillId="2" borderId="0" xfId="2" applyFont="1" applyFill="1" applyBorder="1" applyAlignment="1" applyProtection="1">
      <protection hidden="1"/>
    </xf>
    <xf numFmtId="0" fontId="22" fillId="26" borderId="0" xfId="2" applyFont="1" applyFill="1" applyBorder="1"/>
    <xf numFmtId="0" fontId="2" fillId="26" borderId="0" xfId="2" applyFill="1" applyBorder="1"/>
    <xf numFmtId="0" fontId="2" fillId="26" borderId="0" xfId="2" applyFill="1" applyBorder="1" applyAlignment="1" applyProtection="1">
      <alignment horizontal="left" indent="1"/>
      <protection hidden="1"/>
    </xf>
    <xf numFmtId="0" fontId="13" fillId="21" borderId="7" xfId="0" applyFont="1" applyFill="1" applyBorder="1" applyAlignment="1" applyProtection="1">
      <alignment horizontal="center" vertical="center"/>
      <protection hidden="1"/>
    </xf>
    <xf numFmtId="0" fontId="14" fillId="4" borderId="31" xfId="0" applyFont="1" applyFill="1" applyBorder="1" applyAlignment="1" applyProtection="1">
      <alignment horizontal="center" vertical="center" wrapText="1"/>
      <protection hidden="1"/>
    </xf>
    <xf numFmtId="0" fontId="2" fillId="4" borderId="31" xfId="2"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2" fillId="2" borderId="6" xfId="2" applyFill="1" applyBorder="1" applyProtection="1">
      <protection hidden="1"/>
    </xf>
    <xf numFmtId="0" fontId="21" fillId="2" borderId="0" xfId="2" applyFont="1" applyFill="1" applyBorder="1" applyAlignment="1" applyProtection="1">
      <alignment vertical="center"/>
      <protection hidden="1"/>
    </xf>
    <xf numFmtId="2" fontId="8" fillId="9" borderId="4" xfId="2" applyNumberFormat="1" applyFont="1" applyFill="1" applyBorder="1" applyAlignment="1">
      <alignment horizontal="center" vertical="center"/>
    </xf>
    <xf numFmtId="164" fontId="8" fillId="9" borderId="4" xfId="1" applyNumberFormat="1" applyFont="1" applyFill="1" applyBorder="1" applyAlignment="1">
      <alignment horizontal="center" vertical="center"/>
    </xf>
    <xf numFmtId="0" fontId="13" fillId="6" borderId="10"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protection hidden="1"/>
    </xf>
    <xf numFmtId="0" fontId="2" fillId="25" borderId="0" xfId="2" applyFill="1" applyBorder="1" applyAlignment="1" applyProtection="1">
      <alignment wrapText="1"/>
      <protection hidden="1"/>
    </xf>
    <xf numFmtId="0" fontId="2" fillId="25" borderId="0" xfId="2" applyFill="1" applyBorder="1" applyAlignment="1" applyProtection="1">
      <alignment vertical="center" wrapText="1"/>
      <protection hidden="1"/>
    </xf>
    <xf numFmtId="0" fontId="2" fillId="25" borderId="0" xfId="2" applyFill="1" applyBorder="1" applyAlignment="1" applyProtection="1">
      <alignment vertical="top" wrapText="1"/>
      <protection hidden="1"/>
    </xf>
    <xf numFmtId="0" fontId="13" fillId="6" borderId="7" xfId="0" applyFont="1" applyFill="1" applyBorder="1" applyAlignment="1" applyProtection="1">
      <alignment horizontal="center" vertical="center" wrapText="1"/>
      <protection hidden="1"/>
    </xf>
    <xf numFmtId="0" fontId="11" fillId="6" borderId="32" xfId="2" applyFont="1" applyFill="1" applyBorder="1"/>
    <xf numFmtId="0" fontId="50" fillId="6" borderId="34" xfId="2" applyFont="1" applyFill="1" applyBorder="1" applyAlignment="1">
      <alignment horizontal="left" vertical="center" wrapText="1"/>
    </xf>
    <xf numFmtId="0" fontId="11" fillId="6" borderId="38" xfId="2" applyFont="1" applyFill="1" applyBorder="1"/>
    <xf numFmtId="0" fontId="50" fillId="6" borderId="22" xfId="2" applyFont="1" applyFill="1" applyBorder="1" applyAlignment="1">
      <alignment horizontal="left" vertical="center" wrapText="1"/>
    </xf>
    <xf numFmtId="0" fontId="50" fillId="6" borderId="0" xfId="2" applyFont="1" applyFill="1" applyBorder="1" applyAlignment="1">
      <alignment vertical="center" wrapText="1"/>
    </xf>
    <xf numFmtId="0" fontId="50" fillId="6" borderId="22" xfId="2" applyFont="1" applyFill="1" applyBorder="1" applyAlignment="1">
      <alignment vertical="center" wrapText="1"/>
    </xf>
    <xf numFmtId="0" fontId="5" fillId="6" borderId="22" xfId="2" applyFont="1" applyFill="1" applyBorder="1" applyAlignment="1">
      <alignment horizontal="left" vertical="top" wrapText="1"/>
    </xf>
    <xf numFmtId="0" fontId="5" fillId="6" borderId="38" xfId="2" applyFont="1" applyFill="1" applyBorder="1" applyAlignment="1">
      <alignment horizontal="left" vertical="center" wrapText="1" indent="11"/>
    </xf>
    <xf numFmtId="0" fontId="5" fillId="6" borderId="35" xfId="2" applyFont="1" applyFill="1" applyBorder="1" applyAlignment="1">
      <alignment horizontal="left" vertical="center" wrapText="1" indent="11"/>
    </xf>
    <xf numFmtId="0" fontId="5" fillId="6" borderId="36" xfId="2" applyFont="1" applyFill="1" applyBorder="1" applyAlignment="1">
      <alignment horizontal="left" vertical="top" wrapText="1"/>
    </xf>
    <xf numFmtId="0" fontId="5" fillId="6" borderId="0" xfId="2" applyFont="1" applyFill="1" applyBorder="1" applyAlignment="1">
      <alignment vertical="top" wrapText="1"/>
    </xf>
    <xf numFmtId="0" fontId="5" fillId="6" borderId="3" xfId="2" applyFont="1" applyFill="1" applyBorder="1" applyAlignment="1">
      <alignment vertical="top" wrapText="1"/>
    </xf>
    <xf numFmtId="0" fontId="11" fillId="3" borderId="10" xfId="2" applyFont="1" applyFill="1" applyBorder="1" applyAlignment="1" applyProtection="1">
      <alignment horizontal="center" vertical="center"/>
      <protection hidden="1"/>
    </xf>
    <xf numFmtId="0" fontId="11" fillId="3" borderId="8" xfId="2" applyFont="1" applyFill="1" applyBorder="1" applyAlignment="1" applyProtection="1">
      <alignment horizontal="center" wrapText="1"/>
      <protection hidden="1"/>
    </xf>
    <xf numFmtId="0" fontId="14" fillId="20" borderId="80" xfId="0" applyFont="1" applyFill="1" applyBorder="1" applyAlignment="1" applyProtection="1">
      <alignment horizontal="center" vertical="center" wrapText="1"/>
      <protection locked="0"/>
    </xf>
    <xf numFmtId="0" fontId="11" fillId="3" borderId="7" xfId="2" applyFont="1" applyFill="1" applyBorder="1" applyAlignment="1" applyProtection="1">
      <alignment horizontal="center" vertical="center" wrapText="1"/>
      <protection hidden="1"/>
    </xf>
    <xf numFmtId="0" fontId="11" fillId="3" borderId="8" xfId="2" applyFont="1" applyFill="1" applyBorder="1" applyAlignment="1" applyProtection="1">
      <alignment horizontal="center" vertical="center" wrapText="1"/>
      <protection hidden="1"/>
    </xf>
    <xf numFmtId="0" fontId="22" fillId="2" borderId="0" xfId="2" applyFont="1" applyFill="1" applyProtection="1">
      <protection hidden="1"/>
    </xf>
    <xf numFmtId="0" fontId="105" fillId="2" borderId="0" xfId="2" applyFont="1" applyFill="1" applyBorder="1" applyProtection="1">
      <protection hidden="1"/>
    </xf>
    <xf numFmtId="0" fontId="105" fillId="2" borderId="0" xfId="2" applyFont="1" applyFill="1" applyBorder="1" applyAlignment="1" applyProtection="1">
      <alignment horizontal="left" vertical="center" indent="1"/>
      <protection hidden="1"/>
    </xf>
    <xf numFmtId="0" fontId="105" fillId="2" borderId="0" xfId="2" applyFont="1" applyFill="1" applyBorder="1" applyAlignment="1" applyProtection="1">
      <alignment horizontal="center"/>
      <protection hidden="1"/>
    </xf>
    <xf numFmtId="166" fontId="8" fillId="4" borderId="4" xfId="4" applyNumberFormat="1" applyFont="1" applyFill="1" applyBorder="1" applyAlignment="1" applyProtection="1">
      <alignment horizontal="center" vertical="center"/>
      <protection hidden="1"/>
    </xf>
    <xf numFmtId="4" fontId="2" fillId="10" borderId="4" xfId="4" applyNumberFormat="1" applyFont="1" applyFill="1" applyBorder="1" applyAlignment="1" applyProtection="1">
      <alignment horizontal="center" vertical="center"/>
      <protection hidden="1"/>
    </xf>
    <xf numFmtId="3" fontId="2" fillId="10" borderId="4" xfId="4" applyNumberFormat="1" applyFont="1" applyFill="1" applyBorder="1" applyAlignment="1" applyProtection="1">
      <alignment horizontal="center" vertical="center"/>
      <protection hidden="1"/>
    </xf>
    <xf numFmtId="0" fontId="2" fillId="2" borderId="0" xfId="2" applyFill="1" applyBorder="1" applyAlignment="1">
      <alignment wrapText="1"/>
    </xf>
    <xf numFmtId="0" fontId="13" fillId="13" borderId="10" xfId="0" applyFont="1" applyFill="1" applyBorder="1" applyAlignment="1" applyProtection="1">
      <alignment horizontal="center" vertical="center" wrapText="1"/>
      <protection hidden="1"/>
    </xf>
    <xf numFmtId="0" fontId="13" fillId="13" borderId="7" xfId="0" applyFont="1" applyFill="1" applyBorder="1" applyAlignment="1" applyProtection="1">
      <alignment horizontal="center" vertical="center" wrapText="1"/>
      <protection hidden="1"/>
    </xf>
    <xf numFmtId="0" fontId="21" fillId="2" borderId="0" xfId="2" applyFont="1" applyFill="1" applyBorder="1" applyAlignment="1"/>
    <xf numFmtId="0" fontId="22" fillId="11" borderId="1" xfId="2" applyFont="1" applyFill="1" applyBorder="1" applyAlignment="1" applyProtection="1">
      <alignment horizontal="center" vertical="center"/>
      <protection hidden="1"/>
    </xf>
    <xf numFmtId="0" fontId="22" fillId="11" borderId="2" xfId="2" applyFont="1" applyFill="1" applyBorder="1" applyAlignment="1" applyProtection="1">
      <alignment horizontal="center" vertical="center"/>
      <protection hidden="1"/>
    </xf>
    <xf numFmtId="0" fontId="22" fillId="11" borderId="1" xfId="2" applyFont="1" applyFill="1" applyBorder="1" applyAlignment="1">
      <alignment horizontal="center" vertical="center"/>
    </xf>
    <xf numFmtId="0" fontId="20" fillId="13" borderId="29" xfId="2" applyFont="1" applyFill="1" applyBorder="1" applyAlignment="1" applyProtection="1">
      <alignment horizontal="center" vertical="center" wrapText="1"/>
      <protection hidden="1"/>
    </xf>
    <xf numFmtId="165" fontId="8" fillId="4" borderId="4" xfId="1" applyNumberFormat="1" applyFont="1" applyFill="1" applyBorder="1" applyAlignment="1">
      <alignment horizontal="center" vertical="center" wrapText="1"/>
    </xf>
    <xf numFmtId="0" fontId="13" fillId="21" borderId="7" xfId="0"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22" fillId="11" borderId="1" xfId="2" applyFont="1" applyFill="1" applyBorder="1" applyAlignment="1" applyProtection="1">
      <alignment horizontal="center" vertical="center"/>
      <protection hidden="1"/>
    </xf>
    <xf numFmtId="0" fontId="20" fillId="21" borderId="29" xfId="2" applyFont="1" applyFill="1" applyBorder="1" applyAlignment="1" applyProtection="1">
      <alignment horizontal="center" vertical="center" wrapText="1"/>
      <protection hidden="1"/>
    </xf>
    <xf numFmtId="0" fontId="2" fillId="2" borderId="63" xfId="2" applyFill="1" applyBorder="1" applyProtection="1">
      <protection hidden="1"/>
    </xf>
    <xf numFmtId="0" fontId="2" fillId="20" borderId="31" xfId="2" applyFont="1" applyFill="1" applyBorder="1" applyAlignment="1" applyProtection="1">
      <alignment horizontal="center" vertical="center"/>
      <protection locked="0"/>
    </xf>
    <xf numFmtId="0" fontId="82" fillId="20" borderId="31" xfId="0" applyFont="1" applyFill="1" applyBorder="1" applyAlignment="1" applyProtection="1">
      <alignment horizontal="center"/>
      <protection locked="0"/>
    </xf>
    <xf numFmtId="0" fontId="2" fillId="20" borderId="4" xfId="2" applyFont="1" applyFill="1" applyBorder="1" applyAlignment="1" applyProtection="1">
      <alignment horizontal="center" vertical="center"/>
      <protection locked="0"/>
    </xf>
    <xf numFmtId="0" fontId="49" fillId="8" borderId="92" xfId="0" applyFont="1" applyFill="1" applyBorder="1" applyAlignment="1">
      <alignment horizontal="center" vertical="center" wrapText="1"/>
    </xf>
    <xf numFmtId="0" fontId="49" fillId="8" borderId="16" xfId="0" applyFont="1" applyFill="1" applyBorder="1" applyAlignment="1">
      <alignment horizontal="center" vertical="center" wrapText="1"/>
    </xf>
    <xf numFmtId="0" fontId="49" fillId="8" borderId="95" xfId="0" applyFont="1" applyFill="1" applyBorder="1" applyAlignment="1">
      <alignment horizontal="center" vertical="center" wrapText="1"/>
    </xf>
    <xf numFmtId="0" fontId="49" fillId="8" borderId="93" xfId="0" applyFont="1" applyFill="1" applyBorder="1" applyAlignment="1">
      <alignment horizontal="center" vertical="center"/>
    </xf>
    <xf numFmtId="0" fontId="49" fillId="8" borderId="93" xfId="0" applyFont="1" applyFill="1" applyBorder="1" applyAlignment="1">
      <alignment horizontal="center" vertical="center" wrapText="1"/>
    </xf>
    <xf numFmtId="0" fontId="14" fillId="15" borderId="16" xfId="0" applyFont="1" applyFill="1" applyBorder="1" applyAlignment="1">
      <alignment horizontal="center" vertical="center"/>
    </xf>
    <xf numFmtId="0" fontId="14" fillId="15" borderId="95" xfId="0" applyFont="1" applyFill="1" applyBorder="1" applyAlignment="1">
      <alignment horizontal="center" vertical="center"/>
    </xf>
    <xf numFmtId="0" fontId="14" fillId="15" borderId="95" xfId="0" applyFont="1" applyFill="1" applyBorder="1" applyAlignment="1">
      <alignment horizontal="center" vertical="center" wrapText="1"/>
    </xf>
    <xf numFmtId="164" fontId="2" fillId="10" borderId="31" xfId="1" applyNumberFormat="1" applyFont="1" applyFill="1" applyBorder="1" applyAlignment="1" applyProtection="1">
      <alignment horizontal="center" vertical="center"/>
      <protection hidden="1"/>
    </xf>
    <xf numFmtId="2" fontId="8" fillId="4" borderId="4" xfId="2" applyNumberFormat="1" applyFont="1" applyFill="1" applyBorder="1" applyAlignment="1">
      <alignment horizontal="center" vertical="center"/>
    </xf>
    <xf numFmtId="164" fontId="8" fillId="4" borderId="4" xfId="1" applyNumberFormat="1" applyFont="1" applyFill="1" applyBorder="1" applyAlignment="1">
      <alignment horizontal="center" vertical="center"/>
    </xf>
    <xf numFmtId="2" fontId="2" fillId="10" borderId="31" xfId="2" applyNumberFormat="1" applyFont="1" applyFill="1" applyBorder="1" applyAlignment="1" applyProtection="1">
      <alignment horizontal="center" vertical="center"/>
      <protection hidden="1"/>
    </xf>
    <xf numFmtId="0" fontId="14" fillId="20" borderId="4" xfId="0" applyNumberFormat="1" applyFont="1" applyFill="1" applyBorder="1" applyAlignment="1" applyProtection="1">
      <alignment horizontal="center" vertical="center" wrapText="1"/>
      <protection locked="0"/>
    </xf>
    <xf numFmtId="164" fontId="2" fillId="4" borderId="4" xfId="1" applyNumberFormat="1" applyFont="1" applyFill="1" applyBorder="1" applyAlignment="1" applyProtection="1">
      <alignment horizontal="center" vertical="center"/>
      <protection hidden="1"/>
    </xf>
    <xf numFmtId="164" fontId="2" fillId="4" borderId="31" xfId="1" applyNumberFormat="1" applyFont="1" applyFill="1" applyBorder="1" applyAlignment="1" applyProtection="1">
      <alignment horizontal="center" vertical="center"/>
      <protection hidden="1"/>
    </xf>
    <xf numFmtId="0" fontId="49" fillId="21" borderId="4" xfId="0" applyFont="1" applyFill="1" applyBorder="1" applyAlignment="1">
      <alignment horizontal="center" vertical="center" wrapText="1"/>
    </xf>
    <xf numFmtId="0" fontId="49" fillId="21" borderId="10" xfId="0" applyFont="1" applyFill="1" applyBorder="1" applyAlignment="1">
      <alignment horizontal="center" vertical="center" wrapText="1"/>
    </xf>
    <xf numFmtId="2" fontId="2" fillId="10" borderId="4" xfId="2" applyNumberFormat="1" applyFont="1" applyFill="1" applyBorder="1" applyAlignment="1" applyProtection="1">
      <alignment horizontal="center" vertical="center"/>
      <protection hidden="1"/>
    </xf>
    <xf numFmtId="0" fontId="11" fillId="21" borderId="7" xfId="2" applyFont="1" applyFill="1" applyBorder="1" applyAlignment="1" applyProtection="1">
      <alignment horizontal="center" vertical="center"/>
      <protection hidden="1"/>
    </xf>
    <xf numFmtId="0" fontId="11" fillId="21" borderId="8" xfId="2" applyFont="1" applyFill="1" applyBorder="1" applyAlignment="1" applyProtection="1">
      <alignment horizontal="center" vertical="center"/>
      <protection hidden="1"/>
    </xf>
    <xf numFmtId="0" fontId="2" fillId="20" borderId="8" xfId="2" applyFont="1" applyFill="1" applyBorder="1" applyAlignment="1" applyProtection="1">
      <alignment horizontal="center" vertical="center"/>
      <protection locked="0"/>
    </xf>
    <xf numFmtId="0" fontId="11" fillId="21" borderId="10" xfId="2" applyFont="1" applyFill="1" applyBorder="1" applyAlignment="1" applyProtection="1">
      <alignment horizontal="left" vertical="center" indent="1"/>
      <protection hidden="1"/>
    </xf>
    <xf numFmtId="0" fontId="2" fillId="2" borderId="0" xfId="2" applyFill="1" applyBorder="1" applyAlignment="1" applyProtection="1">
      <alignment horizontal="left" wrapText="1"/>
      <protection hidden="1"/>
    </xf>
    <xf numFmtId="0" fontId="22"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0" fillId="11" borderId="0" xfId="0" applyFill="1" applyAlignment="1"/>
    <xf numFmtId="0" fontId="2" fillId="2" borderId="0" xfId="2" applyFill="1" applyBorder="1" applyAlignment="1" applyProtection="1">
      <protection locked="0"/>
    </xf>
    <xf numFmtId="0" fontId="2" fillId="10" borderId="4" xfId="2" applyFont="1" applyFill="1" applyBorder="1" applyAlignment="1" applyProtection="1">
      <alignment horizontal="center" vertical="center"/>
      <protection hidden="1"/>
    </xf>
    <xf numFmtId="0" fontId="19" fillId="2" borderId="0" xfId="0" applyFont="1" applyFill="1"/>
    <xf numFmtId="0" fontId="2" fillId="2" borderId="0" xfId="2" applyFont="1" applyFill="1" applyBorder="1" applyAlignment="1" applyProtection="1">
      <alignment horizontal="left" indent="1"/>
      <protection hidden="1"/>
    </xf>
    <xf numFmtId="0" fontId="109" fillId="2" borderId="0" xfId="2" applyFont="1" applyFill="1" applyProtection="1">
      <protection hidden="1"/>
    </xf>
    <xf numFmtId="0" fontId="2" fillId="2" borderId="0" xfId="2" applyFill="1" applyBorder="1" applyAlignment="1" applyProtection="1">
      <alignment horizontal="left"/>
      <protection hidden="1"/>
    </xf>
    <xf numFmtId="0" fontId="13" fillId="21" borderId="7" xfId="0" applyFont="1" applyFill="1" applyBorder="1" applyAlignment="1" applyProtection="1">
      <alignment horizontal="center" vertical="center" wrapText="1"/>
      <protection hidden="1"/>
    </xf>
    <xf numFmtId="166" fontId="14" fillId="10" borderId="4" xfId="0" applyNumberFormat="1"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4" fillId="20" borderId="10" xfId="0" applyFont="1" applyFill="1" applyBorder="1" applyAlignment="1" applyProtection="1">
      <alignment horizontal="center" vertical="center" wrapText="1"/>
      <protection locked="0"/>
    </xf>
    <xf numFmtId="0" fontId="14" fillId="20" borderId="35"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13" fillId="6" borderId="3" xfId="0" applyFont="1" applyFill="1" applyBorder="1" applyAlignment="1" applyProtection="1">
      <alignment horizontal="center" vertical="center" wrapText="1"/>
      <protection hidden="1"/>
    </xf>
    <xf numFmtId="0" fontId="14" fillId="20" borderId="31"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3" fillId="6" borderId="0" xfId="0" applyFont="1" applyFill="1" applyBorder="1" applyAlignment="1" applyProtection="1">
      <alignment horizontal="center" vertical="center"/>
      <protection hidden="1"/>
    </xf>
    <xf numFmtId="0" fontId="13" fillId="6" borderId="0" xfId="0" applyFont="1" applyFill="1" applyBorder="1" applyAlignment="1" applyProtection="1">
      <alignment horizontal="center" vertical="center" wrapText="1"/>
      <protection hidden="1"/>
    </xf>
    <xf numFmtId="0" fontId="13" fillId="6" borderId="22" xfId="0" applyFont="1" applyFill="1" applyBorder="1" applyAlignment="1" applyProtection="1">
      <alignment horizontal="center" vertical="center"/>
      <protection hidden="1"/>
    </xf>
    <xf numFmtId="0" fontId="2" fillId="11" borderId="0" xfId="2" applyFont="1" applyFill="1" applyAlignment="1">
      <alignment vertical="center" wrapText="1"/>
    </xf>
    <xf numFmtId="2" fontId="2" fillId="4" borderId="4" xfId="2" applyNumberFormat="1" applyFont="1" applyFill="1" applyBorder="1" applyAlignment="1" applyProtection="1">
      <alignment horizontal="center" vertical="center" wrapText="1"/>
      <protection hidden="1"/>
    </xf>
    <xf numFmtId="2" fontId="2" fillId="4" borderId="31" xfId="2" applyNumberFormat="1" applyFont="1" applyFill="1" applyBorder="1" applyAlignment="1" applyProtection="1">
      <alignment horizontal="center" vertical="center" wrapText="1"/>
      <protection hidden="1"/>
    </xf>
    <xf numFmtId="2" fontId="22" fillId="9" borderId="4" xfId="2" applyNumberFormat="1" applyFont="1" applyFill="1" applyBorder="1" applyAlignment="1" applyProtection="1">
      <alignment horizontal="center" vertical="center" wrapText="1"/>
      <protection hidden="1"/>
    </xf>
    <xf numFmtId="0" fontId="22" fillId="2" borderId="0" xfId="2" applyFont="1" applyFill="1" applyBorder="1" applyAlignment="1" applyProtection="1">
      <protection hidden="1"/>
    </xf>
    <xf numFmtId="3" fontId="6" fillId="9" borderId="31" xfId="2" applyNumberFormat="1" applyFont="1" applyFill="1" applyBorder="1" applyAlignment="1" applyProtection="1">
      <alignment horizontal="center" vertical="center" wrapText="1"/>
      <protection hidden="1"/>
    </xf>
    <xf numFmtId="0" fontId="13" fillId="3" borderId="10" xfId="0" applyFont="1" applyFill="1" applyBorder="1" applyAlignment="1" applyProtection="1">
      <alignment horizontal="center" vertical="center"/>
      <protection hidden="1"/>
    </xf>
    <xf numFmtId="0" fontId="13" fillId="3" borderId="7" xfId="0" applyFont="1" applyFill="1" applyBorder="1" applyAlignment="1" applyProtection="1">
      <alignment horizontal="center" vertical="center" wrapText="1"/>
      <protection hidden="1"/>
    </xf>
    <xf numFmtId="0" fontId="13" fillId="3" borderId="7" xfId="0" applyFont="1" applyFill="1" applyBorder="1" applyAlignment="1" applyProtection="1">
      <alignment horizontal="center" vertical="center"/>
      <protection hidden="1"/>
    </xf>
    <xf numFmtId="0" fontId="22"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14" fillId="20" borderId="10" xfId="0" applyFont="1" applyFill="1" applyBorder="1" applyAlignment="1" applyProtection="1">
      <alignment horizontal="center" vertical="center" wrapText="1"/>
      <protection locked="0"/>
    </xf>
    <xf numFmtId="0" fontId="14" fillId="20" borderId="32" xfId="0" applyFont="1" applyFill="1" applyBorder="1" applyAlignment="1" applyProtection="1">
      <alignment horizontal="center" vertical="center" wrapText="1"/>
      <protection locked="0"/>
    </xf>
    <xf numFmtId="0" fontId="14" fillId="20" borderId="35" xfId="0" applyFont="1" applyFill="1" applyBorder="1" applyAlignment="1" applyProtection="1">
      <alignment horizontal="center" vertical="center" wrapText="1"/>
      <protection locked="0"/>
    </xf>
    <xf numFmtId="0" fontId="107" fillId="11" borderId="0" xfId="0" applyFont="1" applyFill="1"/>
    <xf numFmtId="0" fontId="0" fillId="11" borderId="0" xfId="0" applyFont="1" applyFill="1" applyProtection="1">
      <protection locked="0"/>
    </xf>
    <xf numFmtId="0" fontId="90" fillId="6" borderId="0" xfId="0" applyFont="1" applyFill="1" applyBorder="1" applyAlignment="1" applyProtection="1">
      <alignment horizontal="left" vertical="center" indent="1"/>
      <protection hidden="1"/>
    </xf>
    <xf numFmtId="0" fontId="89" fillId="6" borderId="0" xfId="0" applyFont="1" applyFill="1" applyBorder="1" applyAlignment="1" applyProtection="1">
      <alignment horizontal="left" vertical="center" indent="1"/>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166" fontId="14" fillId="10" borderId="4" xfId="0" applyNumberFormat="1"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4" fillId="20" borderId="10" xfId="0" applyFont="1" applyFill="1" applyBorder="1" applyAlignment="1" applyProtection="1">
      <alignment horizontal="center" vertical="center" wrapText="1"/>
      <protection locked="0"/>
    </xf>
    <xf numFmtId="0" fontId="14" fillId="20" borderId="65" xfId="0" applyFont="1" applyFill="1" applyBorder="1" applyAlignment="1" applyProtection="1">
      <alignment horizontal="center" vertical="center" wrapText="1"/>
      <protection locked="0"/>
    </xf>
    <xf numFmtId="0" fontId="14" fillId="20" borderId="80"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4" fillId="20" borderId="10" xfId="0" applyFont="1" applyFill="1" applyBorder="1" applyAlignment="1" applyProtection="1">
      <alignment horizontal="center" vertical="center" wrapText="1"/>
      <protection locked="0"/>
    </xf>
    <xf numFmtId="0" fontId="13" fillId="13" borderId="79" xfId="0" applyFont="1" applyFill="1" applyBorder="1" applyAlignment="1" applyProtection="1">
      <alignment horizontal="center" vertical="center"/>
      <protection hidden="1"/>
    </xf>
    <xf numFmtId="0" fontId="14" fillId="20" borderId="65" xfId="0" applyFont="1" applyFill="1" applyBorder="1" applyAlignment="1" applyProtection="1">
      <alignment horizontal="center" vertical="center" wrapText="1"/>
      <protection locked="0"/>
    </xf>
    <xf numFmtId="0" fontId="14" fillId="20" borderId="80" xfId="0" applyFont="1" applyFill="1" applyBorder="1" applyAlignment="1" applyProtection="1">
      <alignment horizontal="center" vertical="center" wrapText="1"/>
      <protection locked="0"/>
    </xf>
    <xf numFmtId="166" fontId="14" fillId="10" borderId="65" xfId="0" applyNumberFormat="1" applyFont="1" applyFill="1" applyBorder="1" applyAlignment="1" applyProtection="1">
      <alignment horizontal="center" vertical="center" wrapText="1"/>
      <protection hidden="1"/>
    </xf>
    <xf numFmtId="0" fontId="2" fillId="10" borderId="32" xfId="0" applyFont="1" applyFill="1" applyBorder="1" applyAlignment="1" applyProtection="1">
      <alignment vertical="center" wrapText="1"/>
      <protection hidden="1"/>
    </xf>
    <xf numFmtId="0" fontId="2" fillId="10" borderId="33" xfId="0" applyFont="1" applyFill="1" applyBorder="1" applyAlignment="1" applyProtection="1">
      <alignment vertical="center" wrapText="1"/>
      <protection hidden="1"/>
    </xf>
    <xf numFmtId="0" fontId="22" fillId="26" borderId="0" xfId="0" applyFont="1" applyFill="1" applyBorder="1" applyAlignment="1" applyProtection="1">
      <alignment horizontal="left" vertical="center"/>
      <protection hidden="1"/>
    </xf>
    <xf numFmtId="0" fontId="6" fillId="26" borderId="0" xfId="2" quotePrefix="1" applyFont="1" applyFill="1" applyProtection="1">
      <protection hidden="1"/>
    </xf>
    <xf numFmtId="0" fontId="14" fillId="20" borderId="31" xfId="0" applyFont="1" applyFill="1" applyBorder="1" applyAlignment="1" applyProtection="1">
      <alignment horizontal="center" vertical="center" wrapText="1"/>
      <protection locked="0"/>
    </xf>
    <xf numFmtId="0" fontId="92" fillId="3" borderId="5" xfId="0" applyFont="1" applyFill="1" applyBorder="1" applyAlignment="1">
      <alignment vertical="center" wrapText="1"/>
    </xf>
    <xf numFmtId="0" fontId="92" fillId="3" borderId="72" xfId="0" applyFont="1" applyFill="1" applyBorder="1" applyAlignment="1">
      <alignment vertical="center" wrapText="1"/>
    </xf>
    <xf numFmtId="0" fontId="92" fillId="3" borderId="21" xfId="0" applyFont="1" applyFill="1" applyBorder="1" applyAlignment="1">
      <alignment vertical="center" wrapText="1"/>
    </xf>
    <xf numFmtId="0" fontId="92" fillId="3" borderId="70" xfId="0" applyFont="1" applyFill="1" applyBorder="1" applyAlignment="1">
      <alignment vertical="center" wrapText="1"/>
    </xf>
    <xf numFmtId="0" fontId="92" fillId="3" borderId="74" xfId="0" applyFont="1" applyFill="1" applyBorder="1" applyAlignment="1">
      <alignment vertical="center" wrapText="1"/>
    </xf>
    <xf numFmtId="0" fontId="92" fillId="5" borderId="72" xfId="0" applyFont="1" applyFill="1" applyBorder="1" applyAlignment="1">
      <alignment vertical="center" wrapText="1"/>
    </xf>
    <xf numFmtId="0" fontId="92" fillId="5" borderId="21" xfId="0" applyFont="1" applyFill="1" applyBorder="1" applyAlignment="1">
      <alignment vertical="center" wrapText="1"/>
    </xf>
    <xf numFmtId="0" fontId="92" fillId="16" borderId="72" xfId="0" applyFont="1" applyFill="1" applyBorder="1" applyAlignment="1">
      <alignment vertical="center" wrapText="1"/>
    </xf>
    <xf numFmtId="0" fontId="92" fillId="16" borderId="97" xfId="0" applyFont="1" applyFill="1" applyBorder="1" applyAlignment="1">
      <alignment vertical="center" wrapText="1"/>
    </xf>
    <xf numFmtId="0" fontId="92" fillId="30" borderId="72" xfId="0" applyFont="1" applyFill="1" applyBorder="1" applyAlignment="1">
      <alignment vertical="center" wrapText="1"/>
    </xf>
    <xf numFmtId="0" fontId="92" fillId="30" borderId="97" xfId="0" applyFont="1" applyFill="1" applyBorder="1" applyAlignment="1">
      <alignment vertical="center" wrapText="1"/>
    </xf>
    <xf numFmtId="0" fontId="92" fillId="6" borderId="72" xfId="0" applyFont="1" applyFill="1" applyBorder="1" applyAlignment="1">
      <alignment vertical="center" wrapText="1"/>
    </xf>
    <xf numFmtId="0" fontId="92" fillId="6" borderId="97" xfId="0" applyFont="1" applyFill="1" applyBorder="1" applyAlignment="1">
      <alignment vertical="center" wrapText="1"/>
    </xf>
    <xf numFmtId="0" fontId="92" fillId="6" borderId="74" xfId="0" applyFont="1" applyFill="1" applyBorder="1" applyAlignment="1">
      <alignment vertical="center" wrapText="1"/>
    </xf>
    <xf numFmtId="0" fontId="92" fillId="8" borderId="97" xfId="0" applyFont="1" applyFill="1" applyBorder="1" applyAlignment="1">
      <alignment vertical="center" wrapText="1"/>
    </xf>
    <xf numFmtId="0" fontId="92" fillId="8" borderId="72" xfId="0" applyFont="1" applyFill="1" applyBorder="1" applyAlignment="1">
      <alignment vertical="center" wrapText="1"/>
    </xf>
    <xf numFmtId="0" fontId="92" fillId="16" borderId="98" xfId="0" applyFont="1" applyFill="1" applyBorder="1" applyAlignment="1">
      <alignment vertical="center" wrapText="1"/>
    </xf>
    <xf numFmtId="0" fontId="92" fillId="7" borderId="72" xfId="0" applyFont="1" applyFill="1" applyBorder="1" applyAlignment="1">
      <alignment vertical="center" wrapText="1"/>
    </xf>
    <xf numFmtId="0" fontId="92" fillId="7" borderId="97" xfId="0" applyFont="1" applyFill="1" applyBorder="1" applyAlignment="1">
      <alignment vertical="center" wrapText="1"/>
    </xf>
    <xf numFmtId="0" fontId="82" fillId="11" borderId="96" xfId="0" applyFont="1" applyFill="1" applyBorder="1"/>
    <xf numFmtId="0" fontId="0" fillId="11" borderId="96" xfId="0" applyFont="1" applyFill="1" applyBorder="1"/>
    <xf numFmtId="3" fontId="2" fillId="20" borderId="4" xfId="0" applyNumberFormat="1" applyFont="1" applyFill="1" applyBorder="1" applyAlignment="1" applyProtection="1">
      <alignment horizontal="center" vertical="center"/>
      <protection locked="0"/>
    </xf>
    <xf numFmtId="3" fontId="14" fillId="20" borderId="4" xfId="0" applyNumberFormat="1" applyFont="1" applyFill="1" applyBorder="1" applyAlignment="1" applyProtection="1">
      <alignment horizontal="center" vertical="center"/>
      <protection locked="0"/>
    </xf>
    <xf numFmtId="0" fontId="82" fillId="31" borderId="12" xfId="0" applyFont="1" applyFill="1" applyBorder="1" applyAlignment="1" applyProtection="1">
      <alignment vertical="center" wrapText="1"/>
      <protection locked="0"/>
    </xf>
    <xf numFmtId="0" fontId="82" fillId="31" borderId="13" xfId="0" applyFont="1" applyFill="1" applyBorder="1" applyAlignment="1" applyProtection="1">
      <alignment vertical="center" wrapText="1"/>
      <protection locked="0"/>
    </xf>
    <xf numFmtId="0" fontId="21" fillId="2" borderId="0" xfId="2" applyFont="1" applyFill="1" applyBorder="1" applyAlignment="1" applyProtection="1">
      <alignment vertical="top"/>
      <protection hidden="1"/>
    </xf>
    <xf numFmtId="0" fontId="65" fillId="11" borderId="0" xfId="0" applyFont="1" applyFill="1"/>
    <xf numFmtId="0" fontId="119" fillId="11" borderId="0" xfId="0" applyFont="1" applyFill="1" applyAlignment="1" applyProtection="1">
      <protection hidden="1"/>
    </xf>
    <xf numFmtId="0" fontId="44" fillId="19" borderId="0" xfId="0" applyFont="1" applyFill="1" applyAlignment="1" applyProtection="1">
      <alignment vertical="center" wrapText="1"/>
      <protection hidden="1"/>
    </xf>
    <xf numFmtId="0" fontId="22" fillId="2" borderId="0" xfId="0" applyFont="1" applyFill="1" applyBorder="1" applyAlignment="1" applyProtection="1">
      <alignment horizontal="left" vertical="center" wrapText="1"/>
      <protection hidden="1"/>
    </xf>
    <xf numFmtId="0" fontId="13" fillId="21" borderId="7" xfId="0" applyFont="1" applyFill="1" applyBorder="1" applyAlignment="1" applyProtection="1">
      <alignment horizontal="center" vertical="center"/>
      <protection hidden="1"/>
    </xf>
    <xf numFmtId="0" fontId="13" fillId="21" borderId="8" xfId="0" applyFont="1" applyFill="1" applyBorder="1" applyAlignment="1" applyProtection="1">
      <alignment horizontal="center" vertical="center"/>
      <protection hidden="1"/>
    </xf>
    <xf numFmtId="0" fontId="13" fillId="21" borderId="10" xfId="0" applyFont="1" applyFill="1" applyBorder="1" applyAlignment="1" applyProtection="1">
      <alignment horizontal="center" vertical="center"/>
      <protection hidden="1"/>
    </xf>
    <xf numFmtId="0" fontId="20" fillId="5" borderId="29" xfId="2"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2" fillId="2" borderId="0" xfId="2" applyFill="1" applyBorder="1" applyAlignment="1" applyProtection="1">
      <alignment horizontal="left" indent="5"/>
      <protection hidden="1"/>
    </xf>
    <xf numFmtId="0" fontId="2" fillId="10" borderId="0" xfId="2" applyFill="1" applyBorder="1" applyProtection="1">
      <protection hidden="1"/>
    </xf>
    <xf numFmtId="0" fontId="21" fillId="2" borderId="0" xfId="0" applyFont="1" applyFill="1" applyBorder="1" applyAlignment="1" applyProtection="1">
      <alignment horizontal="left" vertical="center" wrapText="1"/>
      <protection hidden="1"/>
    </xf>
    <xf numFmtId="0" fontId="2" fillId="10" borderId="60" xfId="2" applyFill="1" applyBorder="1" applyAlignment="1" applyProtection="1">
      <alignment horizontal="left" indent="7"/>
      <protection hidden="1"/>
    </xf>
    <xf numFmtId="0" fontId="2" fillId="10" borderId="61" xfId="2" applyFill="1" applyBorder="1" applyProtection="1">
      <protection hidden="1"/>
    </xf>
    <xf numFmtId="0" fontId="2" fillId="10" borderId="62" xfId="2" applyFill="1" applyBorder="1" applyProtection="1">
      <protection hidden="1"/>
    </xf>
    <xf numFmtId="0" fontId="2" fillId="10" borderId="63" xfId="2" applyFill="1" applyBorder="1" applyAlignment="1" applyProtection="1">
      <alignment horizontal="left" indent="8"/>
      <protection hidden="1"/>
    </xf>
    <xf numFmtId="0" fontId="2" fillId="10" borderId="64" xfId="2" applyFill="1" applyBorder="1" applyProtection="1">
      <protection hidden="1"/>
    </xf>
    <xf numFmtId="0" fontId="2" fillId="10" borderId="25" xfId="2" applyFill="1" applyBorder="1" applyAlignment="1" applyProtection="1">
      <alignment horizontal="left" indent="8"/>
      <protection hidden="1"/>
    </xf>
    <xf numFmtId="0" fontId="2" fillId="10" borderId="26" xfId="2" applyFill="1" applyBorder="1" applyProtection="1">
      <protection hidden="1"/>
    </xf>
    <xf numFmtId="0" fontId="2" fillId="10" borderId="27" xfId="2" applyFill="1" applyBorder="1" applyProtection="1">
      <protection hidden="1"/>
    </xf>
    <xf numFmtId="0" fontId="22" fillId="25" borderId="0" xfId="2" applyFont="1" applyFill="1" applyBorder="1" applyAlignment="1" applyProtection="1">
      <alignment horizontal="left" indent="5"/>
      <protection hidden="1"/>
    </xf>
    <xf numFmtId="0" fontId="21" fillId="25" borderId="0" xfId="2" applyFont="1" applyFill="1" applyBorder="1" applyAlignment="1" applyProtection="1">
      <alignment horizontal="left" indent="5"/>
      <protection hidden="1"/>
    </xf>
    <xf numFmtId="0" fontId="21" fillId="2" borderId="0" xfId="2" applyFont="1" applyFill="1" applyBorder="1" applyAlignment="1" applyProtection="1">
      <alignment horizontal="left" indent="5"/>
      <protection hidden="1"/>
    </xf>
    <xf numFmtId="0" fontId="20" fillId="16" borderId="29" xfId="2"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indent="5"/>
      <protection hidden="1"/>
    </xf>
    <xf numFmtId="0" fontId="20" fillId="16" borderId="7" xfId="2" applyFont="1" applyFill="1" applyBorder="1" applyAlignment="1" applyProtection="1">
      <alignment horizontal="center" vertical="center" wrapText="1"/>
      <protection hidden="1"/>
    </xf>
    <xf numFmtId="0" fontId="20" fillId="6" borderId="29" xfId="2" applyFont="1" applyFill="1" applyBorder="1" applyAlignment="1" applyProtection="1">
      <alignment horizontal="center" vertical="center" wrapText="1"/>
      <protection hidden="1"/>
    </xf>
    <xf numFmtId="0" fontId="2" fillId="10" borderId="63" xfId="2" applyFill="1" applyBorder="1" applyProtection="1">
      <protection hidden="1"/>
    </xf>
    <xf numFmtId="0" fontId="2" fillId="10" borderId="60" xfId="2" applyFill="1" applyBorder="1" applyAlignment="1" applyProtection="1">
      <alignment horizontal="left" indent="6"/>
      <protection hidden="1"/>
    </xf>
    <xf numFmtId="0" fontId="2" fillId="10" borderId="63" xfId="2" applyFill="1" applyBorder="1" applyAlignment="1" applyProtection="1">
      <alignment horizontal="left" wrapText="1" indent="8"/>
      <protection hidden="1"/>
    </xf>
    <xf numFmtId="0" fontId="2" fillId="10" borderId="0" xfId="2" applyFill="1" applyBorder="1" applyAlignment="1" applyProtection="1">
      <alignment horizontal="left" wrapText="1" indent="8"/>
      <protection hidden="1"/>
    </xf>
    <xf numFmtId="0" fontId="2" fillId="10" borderId="64" xfId="2" applyFill="1" applyBorder="1" applyAlignment="1" applyProtection="1">
      <alignment horizontal="left" wrapText="1" indent="8"/>
      <protection hidden="1"/>
    </xf>
    <xf numFmtId="0" fontId="21" fillId="2" borderId="0" xfId="2" applyFont="1" applyFill="1" applyBorder="1" applyAlignment="1" applyProtection="1">
      <alignment horizontal="left" indent="6"/>
      <protection hidden="1"/>
    </xf>
    <xf numFmtId="0" fontId="21" fillId="2" borderId="0" xfId="2" applyFont="1" applyFill="1" applyBorder="1" applyAlignment="1" applyProtection="1">
      <alignment horizontal="left" indent="8"/>
      <protection locked="0"/>
    </xf>
    <xf numFmtId="0" fontId="21" fillId="26" borderId="0" xfId="2" applyFont="1" applyFill="1" applyBorder="1" applyAlignment="1" applyProtection="1">
      <alignment horizontal="left" indent="5"/>
      <protection hidden="1"/>
    </xf>
    <xf numFmtId="0" fontId="2" fillId="2" borderId="0" xfId="2" applyFill="1" applyBorder="1" applyAlignment="1">
      <alignment horizontal="left" indent="5"/>
    </xf>
    <xf numFmtId="0" fontId="22" fillId="2" borderId="0" xfId="2" applyFont="1" applyFill="1" applyBorder="1" applyAlignment="1">
      <alignment horizontal="left" indent="5"/>
    </xf>
    <xf numFmtId="0" fontId="2" fillId="10" borderId="61" xfId="2" applyFill="1" applyBorder="1"/>
    <xf numFmtId="0" fontId="2" fillId="10" borderId="62" xfId="2" applyFill="1" applyBorder="1"/>
    <xf numFmtId="0" fontId="2" fillId="10" borderId="0" xfId="2" applyFill="1" applyBorder="1"/>
    <xf numFmtId="0" fontId="2" fillId="10" borderId="64" xfId="2" applyFill="1" applyBorder="1"/>
    <xf numFmtId="0" fontId="2" fillId="10" borderId="26" xfId="2" applyFill="1" applyBorder="1"/>
    <xf numFmtId="0" fontId="2" fillId="10" borderId="27" xfId="2" applyFill="1" applyBorder="1"/>
    <xf numFmtId="0" fontId="2" fillId="10" borderId="60" xfId="2" applyFill="1" applyBorder="1" applyAlignment="1">
      <alignment horizontal="left" indent="6"/>
    </xf>
    <xf numFmtId="0" fontId="2" fillId="10" borderId="63" xfId="2" applyFill="1" applyBorder="1" applyAlignment="1">
      <alignment horizontal="left" indent="8"/>
    </xf>
    <xf numFmtId="0" fontId="2" fillId="10" borderId="25" xfId="2" applyFill="1" applyBorder="1" applyAlignment="1">
      <alignment horizontal="left" indent="8"/>
    </xf>
    <xf numFmtId="0" fontId="2" fillId="2" borderId="0" xfId="2" applyFill="1" applyBorder="1" applyAlignment="1">
      <alignment horizontal="left" indent="6"/>
    </xf>
    <xf numFmtId="0" fontId="21" fillId="2" borderId="0" xfId="2" applyFont="1" applyFill="1" applyBorder="1" applyAlignment="1" applyProtection="1">
      <alignment horizontal="left" vertical="center" indent="6"/>
      <protection hidden="1"/>
    </xf>
    <xf numFmtId="0" fontId="22" fillId="2" borderId="0" xfId="2" applyFont="1" applyFill="1" applyBorder="1" applyAlignment="1" applyProtection="1">
      <alignment horizontal="left" wrapText="1"/>
      <protection hidden="1"/>
    </xf>
    <xf numFmtId="0" fontId="22" fillId="2" borderId="0" xfId="0" applyFont="1" applyFill="1" applyBorder="1" applyAlignment="1" applyProtection="1">
      <alignment horizontal="left" vertical="center" wrapText="1"/>
      <protection hidden="1"/>
    </xf>
    <xf numFmtId="0" fontId="0" fillId="2" borderId="0" xfId="0" applyFill="1" applyProtection="1">
      <protection hidden="1"/>
    </xf>
    <xf numFmtId="0" fontId="0" fillId="2" borderId="22" xfId="0" applyFill="1" applyBorder="1" applyProtection="1">
      <protection hidden="1"/>
    </xf>
    <xf numFmtId="0" fontId="0" fillId="2" borderId="0" xfId="0" applyFill="1" applyAlignment="1" applyProtection="1">
      <alignment horizontal="left" vertical="top" wrapText="1"/>
      <protection hidden="1"/>
    </xf>
    <xf numFmtId="0" fontId="0" fillId="2" borderId="0" xfId="0" applyFill="1" applyAlignment="1" applyProtection="1">
      <alignment vertical="top" wrapText="1"/>
      <protection hidden="1"/>
    </xf>
    <xf numFmtId="0" fontId="46" fillId="2" borderId="0" xfId="0" applyFont="1" applyFill="1" applyAlignment="1" applyProtection="1">
      <alignment horizontal="left" vertical="top" wrapText="1"/>
      <protection hidden="1"/>
    </xf>
    <xf numFmtId="0" fontId="0" fillId="2" borderId="0" xfId="0" applyFill="1" applyAlignment="1" applyProtection="1">
      <alignment horizontal="left" vertical="top"/>
      <protection hidden="1"/>
    </xf>
    <xf numFmtId="0" fontId="0" fillId="2" borderId="0" xfId="0"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0" xfId="0" applyFont="1" applyFill="1" applyAlignment="1" applyProtection="1">
      <alignment vertical="top" wrapText="1"/>
      <protection hidden="1"/>
    </xf>
    <xf numFmtId="0" fontId="80" fillId="2" borderId="0" xfId="0" applyFont="1" applyFill="1" applyProtection="1">
      <protection hidden="1"/>
    </xf>
    <xf numFmtId="0" fontId="0" fillId="2" borderId="0" xfId="0" applyFont="1" applyFill="1" applyProtection="1">
      <protection hidden="1"/>
    </xf>
    <xf numFmtId="0" fontId="0" fillId="2" borderId="0" xfId="0" applyFont="1" applyFill="1" applyAlignment="1" applyProtection="1">
      <alignment horizontal="left" indent="1"/>
      <protection hidden="1"/>
    </xf>
    <xf numFmtId="0" fontId="22" fillId="25" borderId="0" xfId="2" applyFont="1" applyFill="1" applyAlignment="1" applyProtection="1">
      <alignment horizontal="left" indent="5"/>
      <protection hidden="1"/>
    </xf>
    <xf numFmtId="0" fontId="2" fillId="25" borderId="0" xfId="2" applyFill="1" applyBorder="1" applyAlignment="1">
      <alignment horizontal="left" indent="5"/>
    </xf>
    <xf numFmtId="0" fontId="21" fillId="25" borderId="0" xfId="2" applyFont="1" applyFill="1" applyBorder="1" applyAlignment="1">
      <alignment horizontal="left" indent="5"/>
    </xf>
    <xf numFmtId="0" fontId="22" fillId="26" borderId="0" xfId="2" applyFont="1" applyFill="1" applyAlignment="1" applyProtection="1">
      <alignment horizontal="left" indent="5"/>
      <protection hidden="1"/>
    </xf>
    <xf numFmtId="0" fontId="2" fillId="10" borderId="61" xfId="2" applyFill="1" applyBorder="1" applyAlignment="1" applyProtection="1">
      <alignment horizontal="left" indent="6"/>
      <protection hidden="1"/>
    </xf>
    <xf numFmtId="0" fontId="2" fillId="10" borderId="62" xfId="2" applyFill="1" applyBorder="1" applyAlignment="1" applyProtection="1">
      <alignment horizontal="left" indent="6"/>
      <protection hidden="1"/>
    </xf>
    <xf numFmtId="0" fontId="22" fillId="26" borderId="0" xfId="0" applyFont="1" applyFill="1" applyBorder="1" applyAlignment="1" applyProtection="1">
      <alignment horizontal="left" vertical="center" indent="5"/>
      <protection hidden="1"/>
    </xf>
    <xf numFmtId="0" fontId="2" fillId="26" borderId="0" xfId="2" applyFill="1" applyBorder="1" applyAlignment="1" applyProtection="1">
      <alignment horizontal="left" indent="5"/>
      <protection hidden="1"/>
    </xf>
    <xf numFmtId="0" fontId="2" fillId="10" borderId="60" xfId="2" applyFont="1" applyFill="1" applyBorder="1" applyAlignment="1" applyProtection="1">
      <alignment horizontal="left" indent="7"/>
      <protection hidden="1"/>
    </xf>
    <xf numFmtId="0" fontId="2" fillId="10" borderId="0" xfId="2" applyFont="1" applyFill="1" applyBorder="1" applyProtection="1">
      <protection hidden="1"/>
    </xf>
    <xf numFmtId="0" fontId="2" fillId="10" borderId="64" xfId="2" applyFont="1" applyFill="1" applyBorder="1" applyProtection="1">
      <protection hidden="1"/>
    </xf>
    <xf numFmtId="0" fontId="22" fillId="26" borderId="0" xfId="2" applyFont="1" applyFill="1" applyBorder="1" applyAlignment="1" applyProtection="1">
      <alignment horizontal="left" indent="5"/>
      <protection hidden="1"/>
    </xf>
    <xf numFmtId="0" fontId="22" fillId="10" borderId="1" xfId="2" applyFont="1" applyFill="1" applyBorder="1" applyAlignment="1" applyProtection="1">
      <alignment horizontal="center" vertical="center"/>
      <protection hidden="1"/>
    </xf>
    <xf numFmtId="0" fontId="21" fillId="2" borderId="0" xfId="2" applyFont="1" applyFill="1" applyBorder="1" applyAlignment="1" applyProtection="1">
      <alignment horizontal="left" vertical="top" indent="5"/>
      <protection hidden="1"/>
    </xf>
    <xf numFmtId="0" fontId="21" fillId="26" borderId="0" xfId="0" applyFont="1" applyFill="1" applyBorder="1" applyAlignment="1" applyProtection="1">
      <alignment horizontal="left" vertical="center" indent="5"/>
      <protection hidden="1"/>
    </xf>
    <xf numFmtId="0" fontId="21" fillId="25" borderId="0" xfId="0" applyFont="1" applyFill="1" applyBorder="1" applyAlignment="1" applyProtection="1">
      <alignment horizontal="left" vertical="center" indent="5"/>
      <protection hidden="1"/>
    </xf>
    <xf numFmtId="0" fontId="2" fillId="2" borderId="0" xfId="2" applyFill="1" applyBorder="1" applyAlignment="1" applyProtection="1">
      <alignment horizontal="left" indent="7"/>
      <protection hidden="1"/>
    </xf>
    <xf numFmtId="0" fontId="2" fillId="10" borderId="60" xfId="2" applyFill="1" applyBorder="1" applyAlignment="1" applyProtection="1">
      <alignment horizontal="left" indent="5"/>
      <protection hidden="1"/>
    </xf>
    <xf numFmtId="0" fontId="2" fillId="10" borderId="63" xfId="2" applyFill="1" applyBorder="1" applyAlignment="1" applyProtection="1">
      <alignment horizontal="left" indent="7"/>
      <protection hidden="1"/>
    </xf>
    <xf numFmtId="0" fontId="2" fillId="10" borderId="25" xfId="2" applyFill="1" applyBorder="1" applyAlignment="1" applyProtection="1">
      <alignment horizontal="left" indent="7"/>
      <protection hidden="1"/>
    </xf>
    <xf numFmtId="0" fontId="2" fillId="10" borderId="25" xfId="2" applyFont="1" applyFill="1" applyBorder="1" applyAlignment="1" applyProtection="1">
      <alignment horizontal="left" indent="7"/>
      <protection hidden="1"/>
    </xf>
    <xf numFmtId="0" fontId="20" fillId="3" borderId="29" xfId="2"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vertical="center" indent="5"/>
      <protection hidden="1"/>
    </xf>
    <xf numFmtId="0" fontId="21" fillId="2" borderId="0" xfId="2" applyFont="1" applyFill="1" applyBorder="1" applyAlignment="1" applyProtection="1">
      <alignment horizontal="left" vertical="center" indent="5"/>
      <protection hidden="1"/>
    </xf>
    <xf numFmtId="0" fontId="22" fillId="2" borderId="0" xfId="2" applyFont="1" applyFill="1" applyAlignment="1" applyProtection="1">
      <alignment horizontal="left" indent="5"/>
      <protection hidden="1"/>
    </xf>
    <xf numFmtId="0" fontId="22" fillId="2" borderId="0" xfId="2" applyFont="1" applyFill="1" applyAlignment="1" applyProtection="1">
      <alignment horizontal="left" indent="6"/>
      <protection hidden="1"/>
    </xf>
    <xf numFmtId="0" fontId="2" fillId="2" borderId="0" xfId="2" applyFill="1" applyAlignment="1" applyProtection="1">
      <alignment horizontal="left" indent="5"/>
      <protection hidden="1"/>
    </xf>
    <xf numFmtId="0" fontId="22" fillId="2" borderId="0" xfId="2" applyFont="1" applyFill="1" applyBorder="1" applyAlignment="1" applyProtection="1">
      <alignment horizontal="left" wrapText="1"/>
      <protection hidden="1"/>
    </xf>
    <xf numFmtId="0" fontId="22" fillId="2" borderId="0" xfId="0" applyFont="1" applyFill="1" applyBorder="1" applyAlignment="1" applyProtection="1">
      <alignment horizontal="left" vertical="center" wrapText="1"/>
      <protection hidden="1"/>
    </xf>
    <xf numFmtId="0" fontId="49" fillId="21" borderId="7" xfId="0" applyFont="1" applyFill="1" applyBorder="1" applyAlignment="1">
      <alignment horizontal="center" vertical="center" wrapText="1"/>
    </xf>
    <xf numFmtId="0" fontId="2" fillId="20" borderId="31" xfId="2" applyFont="1" applyFill="1" applyBorder="1" applyAlignment="1" applyProtection="1">
      <alignment horizontal="center" vertical="center"/>
      <protection locked="0"/>
    </xf>
    <xf numFmtId="0" fontId="14" fillId="20" borderId="4" xfId="0" applyFont="1" applyFill="1" applyBorder="1" applyAlignment="1" applyProtection="1">
      <alignment horizontal="center" vertical="center" wrapText="1"/>
      <protection locked="0"/>
    </xf>
    <xf numFmtId="0" fontId="21" fillId="2" borderId="0" xfId="0" applyFont="1" applyFill="1" applyBorder="1" applyAlignment="1" applyProtection="1">
      <alignment horizontal="left" vertical="center" wrapText="1" indent="5"/>
      <protection hidden="1"/>
    </xf>
    <xf numFmtId="0" fontId="13" fillId="17" borderId="8" xfId="4" applyFont="1" applyFill="1" applyBorder="1" applyAlignment="1" applyProtection="1">
      <alignment horizontal="center" vertical="center" wrapText="1"/>
      <protection hidden="1"/>
    </xf>
    <xf numFmtId="0" fontId="2" fillId="20" borderId="31" xfId="4" applyNumberFormat="1" applyFont="1" applyFill="1" applyBorder="1" applyAlignment="1" applyProtection="1">
      <alignment horizontal="center"/>
      <protection locked="0"/>
    </xf>
    <xf numFmtId="0" fontId="14" fillId="20" borderId="10" xfId="0" applyFont="1" applyFill="1" applyBorder="1" applyAlignment="1" applyProtection="1">
      <alignment horizontal="center" vertical="center" wrapText="1"/>
      <protection locked="0"/>
    </xf>
    <xf numFmtId="0" fontId="13" fillId="17" borderId="7" xfId="4" applyFont="1" applyFill="1" applyBorder="1" applyAlignment="1" applyProtection="1">
      <alignment horizontal="center" vertical="center" wrapText="1"/>
      <protection hidden="1"/>
    </xf>
    <xf numFmtId="0" fontId="20" fillId="16" borderId="8" xfId="2" applyFont="1" applyFill="1" applyBorder="1" applyAlignment="1" applyProtection="1">
      <alignment horizontal="center" vertical="center" wrapText="1"/>
      <protection hidden="1"/>
    </xf>
    <xf numFmtId="0" fontId="14" fillId="20" borderId="80"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6" fillId="9" borderId="4" xfId="2" applyFont="1" applyFill="1" applyBorder="1" applyAlignment="1" applyProtection="1">
      <alignment horizontal="center" vertical="center" wrapText="1"/>
      <protection hidden="1"/>
    </xf>
    <xf numFmtId="0" fontId="14" fillId="20" borderId="35" xfId="0" applyFont="1" applyFill="1" applyBorder="1" applyAlignment="1" applyProtection="1">
      <alignment horizontal="center" vertical="center" wrapText="1"/>
      <protection locked="0"/>
    </xf>
    <xf numFmtId="0" fontId="22" fillId="2" borderId="35" xfId="0" applyFont="1" applyFill="1" applyBorder="1" applyAlignment="1" applyProtection="1">
      <alignment horizontal="left" vertical="center" wrapText="1"/>
      <protection hidden="1"/>
    </xf>
    <xf numFmtId="0" fontId="22" fillId="2" borderId="3" xfId="0" applyFont="1" applyFill="1" applyBorder="1" applyAlignment="1" applyProtection="1">
      <alignment horizontal="left" vertical="center" wrapText="1"/>
      <protection hidden="1"/>
    </xf>
    <xf numFmtId="0" fontId="22" fillId="2" borderId="38" xfId="0" applyFont="1" applyFill="1" applyBorder="1" applyAlignment="1" applyProtection="1">
      <alignment horizontal="left" vertical="center" wrapText="1"/>
      <protection hidden="1"/>
    </xf>
    <xf numFmtId="0" fontId="110" fillId="2" borderId="0" xfId="2" applyFont="1" applyFill="1" applyAlignment="1" applyProtection="1">
      <alignment horizontal="left" indent="5"/>
      <protection hidden="1"/>
    </xf>
    <xf numFmtId="0" fontId="2" fillId="2" borderId="0" xfId="2" applyFont="1" applyFill="1" applyBorder="1" applyAlignment="1" applyProtection="1">
      <alignment horizontal="left" indent="5"/>
      <protection hidden="1"/>
    </xf>
    <xf numFmtId="0" fontId="2" fillId="10" borderId="0" xfId="2" applyFill="1" applyBorder="1" applyAlignment="1" applyProtection="1">
      <alignment horizontal="left" indent="2"/>
      <protection hidden="1"/>
    </xf>
    <xf numFmtId="0" fontId="2" fillId="10" borderId="61" xfId="2" applyFill="1" applyBorder="1" applyAlignment="1" applyProtection="1">
      <alignment horizontal="left" indent="2"/>
      <protection hidden="1"/>
    </xf>
    <xf numFmtId="0" fontId="2" fillId="10" borderId="62" xfId="2" applyFill="1" applyBorder="1" applyAlignment="1" applyProtection="1">
      <alignment horizontal="left" indent="2"/>
      <protection hidden="1"/>
    </xf>
    <xf numFmtId="0" fontId="2" fillId="10" borderId="64" xfId="2" applyFill="1" applyBorder="1" applyAlignment="1" applyProtection="1">
      <alignment horizontal="left" indent="2"/>
      <protection hidden="1"/>
    </xf>
    <xf numFmtId="0" fontId="2" fillId="10" borderId="26" xfId="2" applyFill="1" applyBorder="1" applyAlignment="1" applyProtection="1">
      <alignment horizontal="left" indent="2"/>
      <protection hidden="1"/>
    </xf>
    <xf numFmtId="0" fontId="2" fillId="10" borderId="27" xfId="2" applyFill="1" applyBorder="1" applyAlignment="1" applyProtection="1">
      <alignment horizontal="left" indent="2"/>
      <protection hidden="1"/>
    </xf>
    <xf numFmtId="0" fontId="2" fillId="10" borderId="25" xfId="2" applyFont="1" applyFill="1" applyBorder="1" applyAlignment="1" applyProtection="1">
      <alignment horizontal="left" indent="6"/>
      <protection hidden="1"/>
    </xf>
    <xf numFmtId="0" fontId="21" fillId="2" borderId="0" xfId="2" applyFont="1" applyFill="1" applyAlignment="1" applyProtection="1">
      <alignment horizontal="left" indent="5"/>
      <protection hidden="1"/>
    </xf>
    <xf numFmtId="0" fontId="2" fillId="2" borderId="0" xfId="2" applyFont="1" applyFill="1" applyAlignment="1" applyProtection="1">
      <alignment horizontal="left" indent="5"/>
      <protection hidden="1"/>
    </xf>
    <xf numFmtId="0" fontId="14" fillId="20" borderId="4" xfId="0" applyFont="1" applyFill="1" applyBorder="1" applyAlignment="1" applyProtection="1">
      <alignment horizontal="center" vertical="center" wrapText="1"/>
      <protection locked="0"/>
    </xf>
    <xf numFmtId="0" fontId="2" fillId="10" borderId="63" xfId="2" applyFill="1" applyBorder="1" applyAlignment="1">
      <alignment horizontal="left" indent="7"/>
    </xf>
    <xf numFmtId="0" fontId="14" fillId="20" borderId="10"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4" fillId="20" borderId="35" xfId="0" applyFont="1" applyFill="1" applyBorder="1" applyAlignment="1" applyProtection="1">
      <alignment horizontal="center" vertical="center" wrapText="1"/>
      <protection locked="0"/>
    </xf>
    <xf numFmtId="0" fontId="2" fillId="10" borderId="0" xfId="2" applyFill="1" applyBorder="1" applyAlignment="1" applyProtection="1">
      <alignment horizontal="left" indent="1"/>
      <protection hidden="1"/>
    </xf>
    <xf numFmtId="0" fontId="2" fillId="10" borderId="61" xfId="2" applyFill="1" applyBorder="1" applyAlignment="1" applyProtection="1">
      <alignment horizontal="left" indent="1"/>
      <protection hidden="1"/>
    </xf>
    <xf numFmtId="0" fontId="2" fillId="10" borderId="62" xfId="2" applyFill="1" applyBorder="1" applyAlignment="1" applyProtection="1">
      <alignment horizontal="left" indent="1"/>
      <protection hidden="1"/>
    </xf>
    <xf numFmtId="0" fontId="2" fillId="10" borderId="64" xfId="2" applyFill="1" applyBorder="1" applyAlignment="1" applyProtection="1">
      <alignment horizontal="left" indent="1"/>
      <protection hidden="1"/>
    </xf>
    <xf numFmtId="0" fontId="2" fillId="10" borderId="26" xfId="2" applyFill="1" applyBorder="1" applyAlignment="1" applyProtection="1">
      <alignment horizontal="left" indent="1"/>
      <protection hidden="1"/>
    </xf>
    <xf numFmtId="0" fontId="2" fillId="10" borderId="27" xfId="2" applyFill="1" applyBorder="1" applyAlignment="1" applyProtection="1">
      <alignment horizontal="left" indent="1"/>
      <protection hidden="1"/>
    </xf>
    <xf numFmtId="0" fontId="2" fillId="10" borderId="60" xfId="2" applyFill="1" applyBorder="1" applyAlignment="1" applyProtection="1">
      <alignment horizontal="left" indent="8"/>
      <protection hidden="1"/>
    </xf>
    <xf numFmtId="0" fontId="21" fillId="2" borderId="0" xfId="0" applyFont="1" applyFill="1" applyBorder="1" applyAlignment="1" applyProtection="1">
      <alignment vertical="center"/>
      <protection hidden="1"/>
    </xf>
    <xf numFmtId="0" fontId="21" fillId="2" borderId="0" xfId="0" applyFont="1" applyFill="1" applyBorder="1" applyAlignment="1" applyProtection="1">
      <alignment horizontal="left" vertical="center" indent="5"/>
      <protection hidden="1"/>
    </xf>
    <xf numFmtId="0" fontId="14" fillId="20" borderId="100" xfId="0" applyFont="1" applyFill="1" applyBorder="1" applyAlignment="1" applyProtection="1">
      <alignment horizontal="center" vertical="center" wrapText="1"/>
      <protection locked="0"/>
    </xf>
    <xf numFmtId="0" fontId="8" fillId="9" borderId="8" xfId="2" applyFont="1" applyFill="1" applyBorder="1" applyAlignment="1" applyProtection="1">
      <alignment horizontal="center" vertical="center" wrapText="1"/>
      <protection hidden="1"/>
    </xf>
    <xf numFmtId="0" fontId="22" fillId="2" borderId="0" xfId="2" applyFont="1" applyFill="1" applyAlignment="1" applyProtection="1">
      <alignment vertical="center"/>
      <protection hidden="1"/>
    </xf>
    <xf numFmtId="164" fontId="6" fillId="9" borderId="4" xfId="1" applyNumberFormat="1" applyFont="1" applyFill="1" applyBorder="1" applyAlignment="1" applyProtection="1">
      <alignment horizontal="center" vertical="center" wrapText="1"/>
      <protection hidden="1"/>
    </xf>
    <xf numFmtId="165" fontId="6" fillId="9" borderId="4" xfId="1" applyNumberFormat="1" applyFont="1" applyFill="1" applyBorder="1" applyAlignment="1" applyProtection="1">
      <alignment horizontal="center" vertical="center" wrapText="1"/>
      <protection hidden="1"/>
    </xf>
    <xf numFmtId="0" fontId="13" fillId="3" borderId="77" xfId="0" applyFont="1" applyFill="1" applyBorder="1" applyAlignment="1" applyProtection="1">
      <alignment horizontal="center" vertical="center"/>
      <protection hidden="1"/>
    </xf>
    <xf numFmtId="0" fontId="13" fillId="3" borderId="79" xfId="0" applyFont="1" applyFill="1" applyBorder="1" applyAlignment="1" applyProtection="1">
      <alignment horizontal="center" vertical="center"/>
      <protection hidden="1"/>
    </xf>
    <xf numFmtId="0" fontId="13" fillId="3" borderId="79" xfId="0" applyFont="1" applyFill="1" applyBorder="1" applyAlignment="1" applyProtection="1">
      <alignment horizontal="center" vertical="center" wrapText="1"/>
      <protection hidden="1"/>
    </xf>
    <xf numFmtId="0" fontId="21" fillId="2" borderId="0" xfId="2" applyFont="1" applyFill="1" applyBorder="1" applyAlignment="1" applyProtection="1">
      <alignment horizontal="left" vertical="center" indent="4"/>
      <protection hidden="1"/>
    </xf>
    <xf numFmtId="0" fontId="22" fillId="2" borderId="0" xfId="2" applyFont="1" applyFill="1" applyBorder="1" applyAlignment="1" applyProtection="1">
      <alignment horizontal="left" vertical="center" indent="4"/>
      <protection hidden="1"/>
    </xf>
    <xf numFmtId="0" fontId="0" fillId="0" borderId="0" xfId="0" applyAlignment="1" applyProtection="1">
      <alignment horizontal="left" indent="5"/>
      <protection hidden="1"/>
    </xf>
    <xf numFmtId="0" fontId="11" fillId="5" borderId="77" xfId="0" applyFont="1" applyFill="1" applyBorder="1" applyAlignment="1" applyProtection="1">
      <alignment horizontal="center" vertical="center" wrapText="1"/>
      <protection hidden="1"/>
    </xf>
    <xf numFmtId="0" fontId="11" fillId="5" borderId="79" xfId="0" applyFont="1" applyFill="1" applyBorder="1" applyAlignment="1" applyProtection="1">
      <alignment horizontal="center" vertical="center" wrapText="1"/>
      <protection hidden="1"/>
    </xf>
    <xf numFmtId="0" fontId="22" fillId="10" borderId="0" xfId="2" applyFont="1" applyFill="1" applyBorder="1" applyAlignment="1" applyProtection="1">
      <alignment horizontal="left" wrapText="1"/>
      <protection hidden="1"/>
    </xf>
    <xf numFmtId="0" fontId="2" fillId="10" borderId="60" xfId="2" applyFont="1" applyFill="1" applyBorder="1" applyAlignment="1" applyProtection="1">
      <alignment horizontal="left" indent="6"/>
      <protection hidden="1"/>
    </xf>
    <xf numFmtId="0" fontId="22" fillId="10" borderId="61" xfId="2" applyFont="1" applyFill="1" applyBorder="1" applyAlignment="1" applyProtection="1">
      <alignment horizontal="left" wrapText="1"/>
      <protection hidden="1"/>
    </xf>
    <xf numFmtId="0" fontId="22" fillId="10" borderId="62" xfId="2" applyFont="1" applyFill="1" applyBorder="1" applyAlignment="1" applyProtection="1">
      <alignment horizontal="left" wrapText="1"/>
      <protection hidden="1"/>
    </xf>
    <xf numFmtId="0" fontId="2" fillId="10" borderId="63" xfId="2" applyFont="1" applyFill="1" applyBorder="1" applyAlignment="1" applyProtection="1">
      <alignment horizontal="left" indent="8"/>
      <protection hidden="1"/>
    </xf>
    <xf numFmtId="0" fontId="22" fillId="10" borderId="64" xfId="2" applyFont="1" applyFill="1" applyBorder="1" applyAlignment="1" applyProtection="1">
      <alignment horizontal="left" wrapText="1"/>
      <protection hidden="1"/>
    </xf>
    <xf numFmtId="0" fontId="2" fillId="10" borderId="25" xfId="2" applyFont="1" applyFill="1" applyBorder="1" applyAlignment="1" applyProtection="1">
      <alignment horizontal="left" indent="8"/>
      <protection hidden="1"/>
    </xf>
    <xf numFmtId="0" fontId="22" fillId="10" borderId="26" xfId="2" applyFont="1" applyFill="1" applyBorder="1" applyAlignment="1" applyProtection="1">
      <alignment horizontal="left" wrapText="1"/>
      <protection hidden="1"/>
    </xf>
    <xf numFmtId="0" fontId="22" fillId="10" borderId="27" xfId="2" applyFont="1" applyFill="1" applyBorder="1" applyAlignment="1" applyProtection="1">
      <alignment horizontal="left" wrapText="1"/>
      <protection hidden="1"/>
    </xf>
    <xf numFmtId="0" fontId="14" fillId="4" borderId="31" xfId="0" applyFont="1" applyFill="1" applyBorder="1" applyAlignment="1" applyProtection="1">
      <alignment horizontal="left" indent="1"/>
      <protection hidden="1"/>
    </xf>
    <xf numFmtId="0" fontId="2" fillId="4" borderId="31" xfId="4" applyNumberFormat="1" applyFont="1" applyFill="1" applyBorder="1" applyAlignment="1" applyProtection="1">
      <alignment horizontal="center"/>
      <protection hidden="1"/>
    </xf>
    <xf numFmtId="0" fontId="13" fillId="17" borderId="35" xfId="4" applyFont="1" applyFill="1" applyBorder="1" applyAlignment="1" applyProtection="1">
      <alignment horizontal="center" vertical="distributed" wrapText="1"/>
      <protection hidden="1"/>
    </xf>
    <xf numFmtId="0" fontId="13" fillId="17" borderId="3" xfId="4" applyFont="1" applyFill="1" applyBorder="1" applyAlignment="1" applyProtection="1">
      <alignment horizontal="center" vertical="distributed" wrapText="1"/>
      <protection hidden="1"/>
    </xf>
    <xf numFmtId="0" fontId="22" fillId="4" borderId="31" xfId="2" applyFont="1" applyFill="1" applyBorder="1" applyAlignment="1" applyProtection="1">
      <alignment horizontal="center" vertical="center"/>
      <protection hidden="1"/>
    </xf>
    <xf numFmtId="0" fontId="2" fillId="28" borderId="0" xfId="2" applyFill="1" applyAlignment="1" applyProtection="1">
      <alignment horizontal="left" indent="1"/>
      <protection hidden="1"/>
    </xf>
    <xf numFmtId="0" fontId="2" fillId="28" borderId="0" xfId="2" applyFill="1" applyProtection="1">
      <protection hidden="1"/>
    </xf>
    <xf numFmtId="0" fontId="22" fillId="28" borderId="0" xfId="2" applyFont="1" applyFill="1" applyAlignment="1" applyProtection="1">
      <alignment horizontal="left" indent="5"/>
      <protection hidden="1"/>
    </xf>
    <xf numFmtId="0" fontId="87" fillId="28" borderId="0" xfId="2" applyFont="1" applyFill="1" applyAlignment="1" applyProtection="1">
      <alignment horizontal="left" vertical="center"/>
      <protection hidden="1"/>
    </xf>
    <xf numFmtId="0" fontId="2" fillId="2" borderId="0" xfId="2" applyFill="1" applyBorder="1" applyAlignment="1" applyProtection="1">
      <alignment horizontal="left" vertical="top" indent="5"/>
      <protection hidden="1"/>
    </xf>
    <xf numFmtId="0" fontId="22" fillId="10" borderId="60" xfId="2" applyFont="1" applyFill="1" applyBorder="1" applyAlignment="1" applyProtection="1">
      <alignment horizontal="left" indent="6"/>
      <protection hidden="1"/>
    </xf>
    <xf numFmtId="0" fontId="2" fillId="2" borderId="0" xfId="2" applyFill="1" applyBorder="1" applyAlignment="1" applyProtection="1">
      <alignment horizontal="left" vertical="center" wrapText="1" indent="5"/>
      <protection hidden="1"/>
    </xf>
    <xf numFmtId="0" fontId="14" fillId="20" borderId="31" xfId="0" applyFont="1" applyFill="1" applyBorder="1" applyAlignment="1" applyProtection="1">
      <alignment horizontal="center" vertical="center" wrapText="1"/>
      <protection locked="0"/>
    </xf>
    <xf numFmtId="0" fontId="2" fillId="25" borderId="0" xfId="2" applyFill="1" applyBorder="1" applyAlignment="1" applyProtection="1">
      <alignment horizontal="left" vertical="top" wrapText="1"/>
      <protection hidden="1"/>
    </xf>
    <xf numFmtId="0" fontId="2" fillId="25" borderId="0" xfId="2" applyFill="1" applyBorder="1" applyAlignment="1" applyProtection="1">
      <alignment horizontal="left" vertical="center" wrapText="1"/>
      <protection hidden="1"/>
    </xf>
    <xf numFmtId="0" fontId="2" fillId="10" borderId="61" xfId="2" applyFill="1" applyBorder="1" applyAlignment="1">
      <alignment horizontal="left" indent="1"/>
    </xf>
    <xf numFmtId="0" fontId="2" fillId="10" borderId="62" xfId="2" applyFill="1" applyBorder="1" applyAlignment="1">
      <alignment horizontal="left" indent="1"/>
    </xf>
    <xf numFmtId="0" fontId="2" fillId="10" borderId="0" xfId="2" applyFill="1" applyBorder="1" applyAlignment="1">
      <alignment wrapText="1"/>
    </xf>
    <xf numFmtId="0" fontId="2" fillId="10" borderId="64" xfId="2" applyFill="1" applyBorder="1" applyAlignment="1">
      <alignment wrapText="1"/>
    </xf>
    <xf numFmtId="0" fontId="2" fillId="10" borderId="26" xfId="2" applyFill="1" applyBorder="1" applyAlignment="1">
      <alignment wrapText="1"/>
    </xf>
    <xf numFmtId="0" fontId="2" fillId="10" borderId="27" xfId="2" applyFill="1" applyBorder="1" applyAlignment="1">
      <alignment wrapText="1"/>
    </xf>
    <xf numFmtId="0" fontId="2" fillId="10" borderId="60" xfId="2" applyFill="1" applyBorder="1" applyAlignment="1">
      <alignment horizontal="left" indent="7"/>
    </xf>
    <xf numFmtId="0" fontId="14" fillId="2" borderId="0" xfId="2" applyFont="1" applyFill="1" applyProtection="1">
      <protection hidden="1"/>
    </xf>
    <xf numFmtId="0" fontId="136" fillId="2" borderId="0" xfId="3" applyFont="1" applyFill="1" applyAlignment="1" applyProtection="1">
      <alignment horizontal="center"/>
      <protection hidden="1"/>
    </xf>
    <xf numFmtId="165" fontId="14" fillId="4" borderId="31" xfId="0" applyNumberFormat="1" applyFont="1" applyFill="1" applyBorder="1" applyAlignment="1" applyProtection="1">
      <alignment horizontal="center" vertical="center" wrapText="1"/>
      <protection hidden="1"/>
    </xf>
    <xf numFmtId="0" fontId="13" fillId="6" borderId="77" xfId="0" applyFont="1" applyFill="1" applyBorder="1" applyAlignment="1" applyProtection="1">
      <alignment horizontal="center" vertical="center"/>
      <protection hidden="1"/>
    </xf>
    <xf numFmtId="0" fontId="13" fillId="6" borderId="79" xfId="0" applyFont="1" applyFill="1" applyBorder="1" applyAlignment="1" applyProtection="1">
      <alignment horizontal="center" vertical="center" wrapText="1"/>
      <protection hidden="1"/>
    </xf>
    <xf numFmtId="0" fontId="13" fillId="6" borderId="79" xfId="0" applyFont="1" applyFill="1" applyBorder="1" applyAlignment="1" applyProtection="1">
      <alignment horizontal="center" vertical="center"/>
      <protection hidden="1"/>
    </xf>
    <xf numFmtId="0" fontId="2" fillId="2" borderId="33" xfId="2" applyFill="1" applyBorder="1" applyProtection="1">
      <protection hidden="1"/>
    </xf>
    <xf numFmtId="0" fontId="13" fillId="6" borderId="86" xfId="0" applyFont="1" applyFill="1" applyBorder="1" applyAlignment="1" applyProtection="1">
      <alignment horizontal="center" vertical="center" wrapText="1"/>
      <protection hidden="1"/>
    </xf>
    <xf numFmtId="0" fontId="13" fillId="6" borderId="101" xfId="0" applyFont="1" applyFill="1" applyBorder="1" applyAlignment="1" applyProtection="1">
      <alignment horizontal="center" vertical="center" wrapText="1"/>
      <protection hidden="1"/>
    </xf>
    <xf numFmtId="3" fontId="14" fillId="4" borderId="31" xfId="0" applyNumberFormat="1" applyFont="1" applyFill="1" applyBorder="1" applyAlignment="1" applyProtection="1">
      <alignment horizontal="center" vertical="center" wrapText="1"/>
      <protection hidden="1"/>
    </xf>
    <xf numFmtId="0" fontId="137" fillId="2" borderId="0" xfId="3" applyFont="1" applyFill="1" applyAlignment="1" applyProtection="1">
      <alignment horizontal="center"/>
      <protection hidden="1"/>
    </xf>
    <xf numFmtId="0" fontId="138" fillId="2" borderId="0" xfId="3" applyFont="1" applyFill="1" applyAlignment="1" applyProtection="1">
      <alignment horizontal="center"/>
      <protection hidden="1"/>
    </xf>
    <xf numFmtId="0" fontId="20" fillId="7" borderId="29" xfId="2" applyFont="1" applyFill="1" applyBorder="1" applyAlignment="1" applyProtection="1">
      <alignment horizontal="center" vertical="center" wrapText="1"/>
      <protection hidden="1"/>
    </xf>
    <xf numFmtId="0" fontId="86" fillId="2" borderId="0" xfId="2" applyFont="1" applyFill="1" applyBorder="1" applyAlignment="1">
      <alignment horizontal="left" indent="6"/>
    </xf>
    <xf numFmtId="0" fontId="2" fillId="2" borderId="0" xfId="2" applyFont="1" applyFill="1" applyBorder="1" applyAlignment="1">
      <alignment horizontal="left" indent="5"/>
    </xf>
    <xf numFmtId="0" fontId="2" fillId="2" borderId="0" xfId="2" applyFill="1" applyBorder="1" applyAlignment="1">
      <alignment horizontal="left" indent="7"/>
    </xf>
    <xf numFmtId="0" fontId="21" fillId="2" borderId="0" xfId="2" applyFont="1" applyFill="1" applyBorder="1" applyAlignment="1">
      <alignment horizontal="left" indent="5"/>
    </xf>
    <xf numFmtId="0" fontId="2" fillId="10" borderId="60" xfId="2" applyFont="1" applyFill="1" applyBorder="1" applyAlignment="1" applyProtection="1">
      <alignment horizontal="left" vertical="center" indent="6"/>
      <protection hidden="1"/>
    </xf>
    <xf numFmtId="0" fontId="2" fillId="10" borderId="25" xfId="2" applyFont="1" applyFill="1" applyBorder="1" applyAlignment="1" applyProtection="1">
      <alignment horizontal="left" vertical="center" indent="6"/>
      <protection hidden="1"/>
    </xf>
    <xf numFmtId="0" fontId="0" fillId="6" borderId="0" xfId="0" applyFont="1" applyFill="1"/>
    <xf numFmtId="0" fontId="22" fillId="26" borderId="0" xfId="2" applyFont="1" applyFill="1" applyBorder="1" applyAlignment="1" applyProtection="1">
      <alignment horizontal="left" indent="6"/>
      <protection hidden="1"/>
    </xf>
    <xf numFmtId="0" fontId="2" fillId="25" borderId="0" xfId="2" applyFont="1" applyFill="1" applyBorder="1" applyAlignment="1" applyProtection="1">
      <alignment horizontal="left" indent="6"/>
      <protection hidden="1"/>
    </xf>
    <xf numFmtId="0" fontId="2" fillId="25" borderId="0" xfId="2" applyFont="1" applyFill="1" applyBorder="1" applyAlignment="1" applyProtection="1">
      <alignment vertical="top" wrapText="1"/>
      <protection hidden="1"/>
    </xf>
    <xf numFmtId="0" fontId="21" fillId="25" borderId="0" xfId="2" applyFont="1" applyFill="1" applyAlignment="1" applyProtection="1">
      <alignment wrapText="1"/>
      <protection hidden="1"/>
    </xf>
    <xf numFmtId="0" fontId="21" fillId="25" borderId="0" xfId="2" applyFont="1" applyFill="1" applyAlignment="1" applyProtection="1">
      <alignment vertical="center"/>
      <protection hidden="1"/>
    </xf>
    <xf numFmtId="0" fontId="2" fillId="26" borderId="63" xfId="2" applyFill="1" applyBorder="1" applyProtection="1">
      <protection hidden="1"/>
    </xf>
    <xf numFmtId="166" fontId="14" fillId="10" borderId="31" xfId="0" applyNumberFormat="1" applyFont="1" applyFill="1" applyBorder="1" applyAlignment="1" applyProtection="1">
      <alignment horizontal="center" vertical="center" wrapText="1"/>
      <protection hidden="1"/>
    </xf>
    <xf numFmtId="0" fontId="22" fillId="25" borderId="0" xfId="2" applyFont="1" applyFill="1" applyBorder="1" applyAlignment="1" applyProtection="1">
      <alignment horizontal="left" vertical="center" indent="6"/>
      <protection hidden="1"/>
    </xf>
    <xf numFmtId="0" fontId="2" fillId="26" borderId="0" xfId="0" applyFont="1" applyFill="1" applyAlignment="1">
      <alignment vertical="center" wrapText="1"/>
    </xf>
    <xf numFmtId="0" fontId="2" fillId="10" borderId="63" xfId="2" applyFill="1" applyBorder="1" applyAlignment="1" applyProtection="1">
      <alignment horizontal="left" indent="7"/>
      <protection hidden="1"/>
    </xf>
    <xf numFmtId="0" fontId="14" fillId="20" borderId="31" xfId="0" applyFont="1" applyFill="1" applyBorder="1" applyAlignment="1" applyProtection="1">
      <alignment horizontal="center" vertical="center" wrapText="1"/>
      <protection locked="0" hidden="1"/>
    </xf>
    <xf numFmtId="0" fontId="13" fillId="21" borderId="10" xfId="0" applyFont="1" applyFill="1" applyBorder="1" applyAlignment="1" applyProtection="1">
      <alignment horizontal="center" vertical="center"/>
      <protection hidden="1"/>
    </xf>
    <xf numFmtId="0" fontId="2" fillId="10" borderId="63" xfId="2" applyFill="1" applyBorder="1" applyAlignment="1" applyProtection="1">
      <alignment horizontal="left" indent="8"/>
      <protection hidden="1"/>
    </xf>
    <xf numFmtId="0" fontId="2" fillId="10" borderId="25" xfId="2" applyFill="1" applyBorder="1" applyAlignment="1" applyProtection="1">
      <alignment horizontal="left" indent="8"/>
      <protection hidden="1"/>
    </xf>
    <xf numFmtId="0" fontId="2" fillId="10" borderId="60" xfId="2" applyFill="1" applyBorder="1" applyAlignment="1" applyProtection="1">
      <alignment horizontal="left" indent="7"/>
      <protection hidden="1"/>
    </xf>
    <xf numFmtId="0" fontId="14" fillId="20" borderId="80" xfId="0" applyFont="1" applyFill="1" applyBorder="1" applyAlignment="1" applyProtection="1">
      <alignment horizontal="center" vertical="center" wrapText="1"/>
      <protection locked="0"/>
    </xf>
    <xf numFmtId="0" fontId="14" fillId="20" borderId="65" xfId="0" applyFont="1" applyFill="1" applyBorder="1" applyAlignment="1" applyProtection="1">
      <alignment horizontal="center" vertical="center" wrapText="1"/>
      <protection locked="0"/>
    </xf>
    <xf numFmtId="0" fontId="22" fillId="10" borderId="60" xfId="2" applyFont="1" applyFill="1" applyBorder="1" applyAlignment="1" applyProtection="1">
      <alignment horizontal="left" indent="7"/>
      <protection hidden="1"/>
    </xf>
    <xf numFmtId="0" fontId="2" fillId="10" borderId="63" xfId="2" quotePrefix="1" applyFill="1" applyBorder="1" applyAlignment="1" applyProtection="1">
      <alignment horizontal="left" indent="9"/>
      <protection hidden="1"/>
    </xf>
    <xf numFmtId="0" fontId="2" fillId="10" borderId="63" xfId="2" quotePrefix="1" applyFill="1" applyBorder="1" applyAlignment="1" applyProtection="1">
      <alignment horizontal="left" indent="10"/>
      <protection hidden="1"/>
    </xf>
    <xf numFmtId="0" fontId="2" fillId="25" borderId="0" xfId="2" applyFill="1" applyBorder="1" applyAlignment="1" applyProtection="1">
      <alignment horizontal="left" indent="6"/>
      <protection hidden="1"/>
    </xf>
    <xf numFmtId="0" fontId="2" fillId="10" borderId="25" xfId="2" quotePrefix="1" applyFill="1" applyBorder="1" applyAlignment="1" applyProtection="1">
      <alignment horizontal="left" indent="9"/>
      <protection hidden="1"/>
    </xf>
    <xf numFmtId="0" fontId="22" fillId="10" borderId="63" xfId="2" quotePrefix="1" applyFont="1" applyFill="1" applyBorder="1" applyAlignment="1" applyProtection="1">
      <alignment horizontal="left" indent="9"/>
      <protection hidden="1"/>
    </xf>
    <xf numFmtId="0" fontId="22" fillId="25" borderId="0" xfId="0" applyFont="1" applyFill="1" applyBorder="1" applyAlignment="1" applyProtection="1">
      <alignment horizontal="left" vertical="center" indent="5"/>
      <protection hidden="1"/>
    </xf>
    <xf numFmtId="0" fontId="14" fillId="20" borderId="4" xfId="0" applyFont="1" applyFill="1" applyBorder="1" applyAlignment="1" applyProtection="1">
      <alignment horizontal="center" vertical="center" wrapText="1"/>
      <protection locked="0"/>
    </xf>
    <xf numFmtId="0" fontId="22" fillId="2" borderId="0" xfId="2" applyFont="1" applyFill="1" applyBorder="1" applyAlignment="1" applyProtection="1">
      <alignment horizontal="left" indent="5"/>
      <protection hidden="1"/>
    </xf>
    <xf numFmtId="0" fontId="14" fillId="20" borderId="4" xfId="0" applyFont="1" applyFill="1" applyBorder="1" applyAlignment="1" applyProtection="1">
      <alignment horizontal="center" vertical="center" wrapText="1"/>
      <protection locked="0"/>
    </xf>
    <xf numFmtId="0" fontId="13" fillId="3" borderId="10" xfId="0" applyFont="1" applyFill="1" applyBorder="1" applyAlignment="1" applyProtection="1">
      <alignment horizontal="center" vertical="center"/>
      <protection hidden="1"/>
    </xf>
    <xf numFmtId="0" fontId="2" fillId="2" borderId="32" xfId="2" applyFill="1" applyBorder="1" applyProtection="1">
      <protection hidden="1"/>
    </xf>
    <xf numFmtId="0" fontId="2" fillId="4" borderId="35" xfId="2" applyFont="1" applyFill="1" applyBorder="1" applyAlignment="1" applyProtection="1">
      <alignment horizontal="center" vertical="center" wrapText="1"/>
      <protection hidden="1"/>
    </xf>
    <xf numFmtId="0" fontId="2" fillId="2" borderId="7" xfId="2" applyFill="1" applyBorder="1" applyProtection="1">
      <protection hidden="1"/>
    </xf>
    <xf numFmtId="168" fontId="14" fillId="20" borderId="4" xfId="0" applyNumberFormat="1" applyFont="1" applyFill="1" applyBorder="1" applyAlignment="1" applyProtection="1">
      <alignment horizontal="center" vertical="center" wrapText="1"/>
      <protection locked="0"/>
    </xf>
    <xf numFmtId="0" fontId="67" fillId="11" borderId="0" xfId="2" applyFont="1" applyFill="1" applyBorder="1" applyAlignment="1" applyProtection="1">
      <alignment horizontal="left" vertical="center" wrapText="1" indent="1"/>
      <protection hidden="1"/>
    </xf>
    <xf numFmtId="0" fontId="14" fillId="20" borderId="4" xfId="0" applyFont="1" applyFill="1" applyBorder="1" applyAlignment="1" applyProtection="1">
      <alignment horizontal="center" vertical="center" wrapText="1"/>
      <protection locked="0"/>
    </xf>
    <xf numFmtId="0" fontId="2" fillId="10" borderId="25" xfId="2" applyFill="1" applyBorder="1" applyAlignment="1" applyProtection="1">
      <alignment horizontal="left" indent="8"/>
      <protection hidden="1"/>
    </xf>
    <xf numFmtId="0" fontId="2" fillId="10" borderId="26" xfId="2" applyFill="1" applyBorder="1" applyAlignment="1" applyProtection="1">
      <alignment horizontal="left" indent="8"/>
      <protection hidden="1"/>
    </xf>
    <xf numFmtId="0" fontId="2" fillId="10" borderId="27" xfId="2" applyFill="1" applyBorder="1" applyAlignment="1" applyProtection="1">
      <alignment horizontal="left" indent="8"/>
      <protection hidden="1"/>
    </xf>
    <xf numFmtId="0" fontId="14" fillId="20" borderId="31" xfId="0" applyFont="1" applyFill="1" applyBorder="1" applyAlignment="1" applyProtection="1">
      <alignment horizontal="center" vertical="center" wrapText="1"/>
      <protection locked="0"/>
    </xf>
    <xf numFmtId="0" fontId="14" fillId="10" borderId="31" xfId="0"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indent="5"/>
      <protection hidden="1"/>
    </xf>
    <xf numFmtId="0" fontId="2" fillId="4" borderId="80" xfId="0"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vertical="center" indent="6"/>
      <protection hidden="1"/>
    </xf>
    <xf numFmtId="0" fontId="2" fillId="10" borderId="63" xfId="2" applyFont="1" applyFill="1" applyBorder="1" applyAlignment="1" applyProtection="1">
      <alignment horizontal="left" indent="6"/>
      <protection hidden="1"/>
    </xf>
    <xf numFmtId="2" fontId="2" fillId="10" borderId="31" xfId="0" applyNumberFormat="1" applyFont="1" applyFill="1" applyBorder="1" applyAlignment="1" applyProtection="1">
      <alignment horizontal="center" vertical="center" wrapText="1"/>
      <protection hidden="1"/>
    </xf>
    <xf numFmtId="0" fontId="13" fillId="6" borderId="8" xfId="0" applyFont="1" applyFill="1" applyBorder="1" applyAlignment="1" applyProtection="1">
      <alignment horizontal="center" vertical="center"/>
      <protection hidden="1"/>
    </xf>
    <xf numFmtId="0" fontId="0" fillId="2" borderId="0" xfId="0" applyFont="1" applyFill="1" applyAlignment="1" applyProtection="1">
      <alignment horizontal="left" vertical="top" wrapText="1" inden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horizontal="left" vertical="top"/>
      <protection hidden="1"/>
    </xf>
    <xf numFmtId="0" fontId="0" fillId="2" borderId="0" xfId="0" applyFill="1" applyAlignment="1" applyProtection="1">
      <alignment horizontal="left" vertical="top" wrapText="1"/>
      <protection hidden="1"/>
    </xf>
    <xf numFmtId="0" fontId="13" fillId="21" borderId="7" xfId="0" applyFont="1" applyFill="1" applyBorder="1" applyAlignment="1" applyProtection="1">
      <alignment horizontal="center" vertical="center" wrapText="1"/>
      <protection hidden="1"/>
    </xf>
    <xf numFmtId="0" fontId="2" fillId="20" borderId="31" xfId="2" applyFont="1" applyFill="1" applyBorder="1" applyAlignment="1" applyProtection="1">
      <alignment horizontal="center" vertical="center"/>
      <protection locked="0"/>
    </xf>
    <xf numFmtId="0" fontId="2" fillId="20" borderId="4" xfId="2" applyFont="1" applyFill="1" applyBorder="1" applyAlignment="1" applyProtection="1">
      <alignment horizontal="center" vertical="center"/>
      <protection locked="0"/>
    </xf>
    <xf numFmtId="0" fontId="49" fillId="21" borderId="7" xfId="0" applyFont="1" applyFill="1" applyBorder="1" applyAlignment="1">
      <alignment horizontal="center" vertical="center" wrapText="1"/>
    </xf>
    <xf numFmtId="0" fontId="13" fillId="21" borderId="8" xfId="0" applyFont="1" applyFill="1" applyBorder="1" applyAlignment="1" applyProtection="1">
      <alignment horizontal="center" vertical="center" wrapText="1"/>
      <protection hidden="1"/>
    </xf>
    <xf numFmtId="0" fontId="14" fillId="15" borderId="4" xfId="0" applyFont="1" applyFill="1" applyBorder="1" applyAlignment="1">
      <alignment horizontal="center" vertical="center" wrapText="1"/>
    </xf>
    <xf numFmtId="0" fontId="14" fillId="15" borderId="31" xfId="0" applyFont="1" applyFill="1" applyBorder="1" applyAlignment="1">
      <alignment horizontal="center" vertical="center" wrapText="1"/>
    </xf>
    <xf numFmtId="0" fontId="14" fillId="20" borderId="4" xfId="0" applyFont="1" applyFill="1" applyBorder="1" applyAlignment="1" applyProtection="1">
      <alignment horizontal="center" vertical="center" wrapText="1"/>
      <protection locked="0"/>
    </xf>
    <xf numFmtId="0" fontId="2" fillId="10" borderId="63" xfId="2" applyFill="1" applyBorder="1" applyAlignment="1" applyProtection="1">
      <alignment horizontal="left" indent="8"/>
      <protection hidden="1"/>
    </xf>
    <xf numFmtId="0" fontId="2" fillId="10" borderId="25" xfId="2" applyFill="1" applyBorder="1" applyAlignment="1" applyProtection="1">
      <alignment horizontal="left" indent="8"/>
      <protection hidden="1"/>
    </xf>
    <xf numFmtId="0" fontId="14" fillId="26" borderId="0" xfId="0" applyFont="1" applyFill="1" applyAlignment="1">
      <alignment horizontal="left" indent="5"/>
    </xf>
    <xf numFmtId="0" fontId="0" fillId="26" borderId="0" xfId="0" applyFill="1" applyAlignment="1"/>
    <xf numFmtId="0" fontId="75" fillId="26" borderId="0" xfId="0" applyFont="1" applyFill="1" applyAlignment="1">
      <alignment horizontal="left" indent="5"/>
    </xf>
    <xf numFmtId="0" fontId="2" fillId="20" borderId="31" xfId="0" applyFont="1" applyFill="1" applyBorder="1" applyAlignment="1" applyProtection="1">
      <alignment horizontal="center" vertical="center"/>
      <protection locked="0"/>
    </xf>
    <xf numFmtId="0" fontId="2" fillId="26" borderId="0" xfId="2" applyFont="1" applyFill="1" applyAlignment="1" applyProtection="1">
      <alignment vertical="center"/>
      <protection hidden="1"/>
    </xf>
    <xf numFmtId="0" fontId="2" fillId="20" borderId="4" xfId="0" applyFont="1" applyFill="1" applyBorder="1" applyAlignment="1" applyProtection="1">
      <alignment horizontal="center" vertical="center"/>
      <protection locked="0"/>
    </xf>
    <xf numFmtId="0" fontId="2" fillId="32" borderId="4" xfId="0" applyFont="1" applyFill="1" applyBorder="1" applyAlignment="1" applyProtection="1">
      <alignment horizontal="center" vertical="center"/>
      <protection hidden="1"/>
    </xf>
    <xf numFmtId="0" fontId="2" fillId="26" borderId="0" xfId="2" applyFont="1" applyFill="1" applyAlignment="1" applyProtection="1">
      <alignment horizontal="right" vertical="center" indent="1"/>
      <protection hidden="1"/>
    </xf>
    <xf numFmtId="0" fontId="21" fillId="26" borderId="0" xfId="2" applyFont="1" applyFill="1" applyBorder="1" applyAlignment="1">
      <alignment horizontal="left" indent="5"/>
    </xf>
    <xf numFmtId="0" fontId="2" fillId="26" borderId="0" xfId="2" applyFill="1" applyBorder="1" applyAlignment="1">
      <alignment horizontal="left" indent="5"/>
    </xf>
    <xf numFmtId="0" fontId="2" fillId="11" borderId="0" xfId="2" applyFont="1" applyFill="1" applyBorder="1" applyAlignment="1">
      <alignment vertical="center"/>
    </xf>
    <xf numFmtId="0" fontId="19" fillId="0" borderId="0" xfId="0" applyFont="1" applyAlignment="1">
      <alignment vertical="center"/>
    </xf>
    <xf numFmtId="0" fontId="0" fillId="2" borderId="0" xfId="0" applyFont="1" applyFill="1" applyAlignment="1" applyProtection="1">
      <alignment horizontal="left" indent="3"/>
      <protection hidden="1"/>
    </xf>
    <xf numFmtId="0" fontId="145" fillId="11" borderId="0" xfId="0" applyFont="1" applyFill="1" applyAlignment="1" applyProtection="1">
      <protection hidden="1"/>
    </xf>
    <xf numFmtId="0" fontId="0" fillId="11" borderId="0" xfId="0" applyFill="1" applyAlignment="1" applyProtection="1">
      <alignment horizontal="left" indent="1"/>
      <protection hidden="1"/>
    </xf>
    <xf numFmtId="0" fontId="0" fillId="11" borderId="111" xfId="0" applyFill="1" applyBorder="1" applyProtection="1">
      <protection hidden="1"/>
    </xf>
    <xf numFmtId="0" fontId="2" fillId="11" borderId="0" xfId="2" applyFont="1" applyFill="1" applyBorder="1" applyAlignment="1">
      <alignment wrapText="1"/>
    </xf>
    <xf numFmtId="0" fontId="19" fillId="0" borderId="0" xfId="0" applyFont="1" applyAlignment="1">
      <alignment wrapText="1"/>
    </xf>
    <xf numFmtId="0" fontId="75" fillId="26" borderId="0" xfId="0" applyFont="1" applyFill="1" applyAlignment="1">
      <alignment horizontal="left" vertical="center" indent="5"/>
    </xf>
    <xf numFmtId="0" fontId="49" fillId="8" borderId="4" xfId="0" applyFont="1" applyFill="1" applyBorder="1" applyAlignment="1">
      <alignment horizontal="center" vertical="center" wrapText="1"/>
    </xf>
    <xf numFmtId="0" fontId="49" fillId="8" borderId="4" xfId="0" applyFont="1" applyFill="1" applyBorder="1" applyAlignment="1">
      <alignment horizontal="center" vertical="center"/>
    </xf>
    <xf numFmtId="0" fontId="14" fillId="15" borderId="4" xfId="0" applyFont="1" applyFill="1" applyBorder="1" applyAlignment="1">
      <alignment horizontal="center" vertical="center"/>
    </xf>
    <xf numFmtId="0" fontId="21" fillId="2" borderId="0" xfId="2" applyFont="1" applyFill="1" applyBorder="1" applyAlignment="1" applyProtection="1">
      <alignment horizontal="center" vertical="top"/>
      <protection hidden="1"/>
    </xf>
    <xf numFmtId="0" fontId="2" fillId="2" borderId="26" xfId="2" applyFont="1" applyFill="1" applyBorder="1"/>
    <xf numFmtId="0" fontId="2" fillId="2" borderId="64" xfId="2" applyFont="1" applyFill="1" applyBorder="1" applyAlignment="1" applyProtection="1">
      <alignment vertical="center" wrapText="1"/>
      <protection hidden="1"/>
    </xf>
    <xf numFmtId="0" fontId="21" fillId="2" borderId="64" xfId="2" applyFont="1" applyFill="1" applyBorder="1" applyAlignment="1" applyProtection="1">
      <alignment horizontal="center" vertical="top"/>
      <protection hidden="1"/>
    </xf>
    <xf numFmtId="0" fontId="65" fillId="2" borderId="0" xfId="0" applyFont="1" applyFill="1" applyAlignment="1">
      <alignment horizontal="left" vertical="center" wrapText="1"/>
    </xf>
    <xf numFmtId="0" fontId="65" fillId="2" borderId="0" xfId="0" applyFont="1" applyFill="1" applyBorder="1" applyAlignment="1">
      <alignment horizontal="left" vertical="center" wrapText="1"/>
    </xf>
    <xf numFmtId="0" fontId="2" fillId="2" borderId="0" xfId="2" applyFont="1" applyFill="1" applyBorder="1" applyAlignment="1" applyProtection="1">
      <alignment horizontal="center" vertical="center" wrapText="1"/>
      <protection hidden="1"/>
    </xf>
    <xf numFmtId="0" fontId="2" fillId="2" borderId="0" xfId="2" applyFont="1" applyFill="1" applyBorder="1" applyAlignment="1"/>
    <xf numFmtId="0" fontId="2" fillId="2" borderId="0" xfId="2" applyFont="1" applyFill="1" applyBorder="1" applyAlignment="1">
      <alignment vertical="center" wrapText="1"/>
    </xf>
    <xf numFmtId="0" fontId="87" fillId="2" borderId="0" xfId="2" applyFont="1" applyFill="1" applyBorder="1"/>
    <xf numFmtId="0" fontId="2" fillId="2" borderId="26" xfId="2" applyFont="1" applyFill="1" applyBorder="1" applyAlignment="1"/>
    <xf numFmtId="0" fontId="22" fillId="2" borderId="0" xfId="2" applyFont="1" applyFill="1" applyBorder="1" applyAlignment="1">
      <alignment vertical="center"/>
    </xf>
    <xf numFmtId="0" fontId="14" fillId="20" borderId="4"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hidden="1"/>
    </xf>
    <xf numFmtId="0" fontId="49" fillId="21" borderId="4" xfId="0" applyFont="1" applyFill="1" applyBorder="1" applyAlignment="1" applyProtection="1">
      <alignment horizontal="left" vertical="center" wrapText="1"/>
      <protection hidden="1"/>
    </xf>
    <xf numFmtId="0" fontId="49" fillId="21" borderId="31" xfId="0" applyFont="1" applyFill="1" applyBorder="1" applyAlignment="1" applyProtection="1">
      <alignment horizontal="center" vertical="center" wrapText="1"/>
      <protection hidden="1"/>
    </xf>
    <xf numFmtId="0" fontId="14" fillId="20" borderId="31" xfId="0" applyFont="1" applyFill="1" applyBorder="1" applyAlignment="1" applyProtection="1">
      <alignment horizontal="center" vertical="center" wrapText="1"/>
      <protection locked="0"/>
    </xf>
    <xf numFmtId="0" fontId="21" fillId="25" borderId="0" xfId="2" applyFont="1" applyFill="1" applyAlignment="1" applyProtection="1">
      <alignment vertical="center" wrapText="1"/>
      <protection hidden="1"/>
    </xf>
    <xf numFmtId="0" fontId="2" fillId="2" borderId="0" xfId="2" applyFill="1" applyBorder="1" applyAlignment="1" applyProtection="1">
      <alignment horizontal="left" indent="1"/>
      <protection hidden="1"/>
    </xf>
    <xf numFmtId="0" fontId="2" fillId="2" borderId="0" xfId="2" applyFill="1" applyAlignment="1" applyProtection="1">
      <alignment horizontal="left" indent="1"/>
      <protection hidden="1"/>
    </xf>
    <xf numFmtId="0" fontId="22" fillId="2" borderId="0" xfId="2" applyFont="1" applyFill="1" applyBorder="1" applyAlignment="1" applyProtection="1">
      <alignment horizontal="left" indent="2"/>
      <protection hidden="1"/>
    </xf>
    <xf numFmtId="0" fontId="2" fillId="2" borderId="0" xfId="2" applyFill="1" applyBorder="1" applyAlignment="1" applyProtection="1">
      <alignment horizontal="left" indent="2"/>
      <protection hidden="1"/>
    </xf>
    <xf numFmtId="0" fontId="2" fillId="2" borderId="0" xfId="2" applyFill="1" applyAlignment="1" applyProtection="1">
      <alignment horizontal="left" indent="2"/>
      <protection hidden="1"/>
    </xf>
    <xf numFmtId="0" fontId="2" fillId="2" borderId="0" xfId="2" applyFont="1" applyFill="1" applyBorder="1" applyAlignment="1" applyProtection="1">
      <alignment horizontal="left" indent="2"/>
      <protection hidden="1"/>
    </xf>
    <xf numFmtId="0" fontId="22" fillId="4" borderId="4" xfId="2" applyFont="1" applyFill="1" applyBorder="1" applyAlignment="1">
      <alignment horizontal="center"/>
    </xf>
    <xf numFmtId="0" fontId="22" fillId="4" borderId="4" xfId="2" applyNumberFormat="1" applyFont="1" applyFill="1" applyBorder="1" applyAlignment="1">
      <alignment horizontal="center" vertical="center" wrapText="1"/>
    </xf>
    <xf numFmtId="0" fontId="2" fillId="2" borderId="0" xfId="2" applyFill="1" applyBorder="1" applyProtection="1">
      <protection locked="0"/>
    </xf>
    <xf numFmtId="0" fontId="19" fillId="20" borderId="4" xfId="0" applyFont="1" applyFill="1" applyBorder="1" applyAlignment="1" applyProtection="1">
      <alignment horizontal="center" vertical="center" wrapText="1"/>
      <protection locked="0" hidden="1"/>
    </xf>
    <xf numFmtId="0" fontId="2" fillId="2" borderId="38" xfId="2" applyFill="1" applyBorder="1" applyProtection="1">
      <protection hidden="1"/>
    </xf>
    <xf numFmtId="0" fontId="14" fillId="20" borderId="0" xfId="0" applyFont="1" applyFill="1" applyBorder="1" applyAlignment="1" applyProtection="1">
      <alignment horizontal="center" vertical="center" wrapText="1"/>
      <protection locked="0" hidden="1"/>
    </xf>
    <xf numFmtId="0" fontId="19" fillId="20" borderId="4" xfId="0" applyFont="1" applyFill="1" applyBorder="1" applyAlignment="1" applyProtection="1">
      <alignment horizontal="center" vertical="center" wrapText="1"/>
      <protection locked="0" hidden="1"/>
    </xf>
    <xf numFmtId="0" fontId="14" fillId="20" borderId="4"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4" fillId="10" borderId="31" xfId="0" applyFont="1" applyFill="1" applyBorder="1" applyAlignment="1" applyProtection="1">
      <alignment horizontal="center" vertical="center" wrapText="1"/>
      <protection hidden="1"/>
    </xf>
    <xf numFmtId="0" fontId="8" fillId="4" borderId="4" xfId="2" applyFont="1" applyFill="1" applyBorder="1" applyAlignment="1" applyProtection="1">
      <alignment horizontal="center"/>
      <protection hidden="1"/>
    </xf>
    <xf numFmtId="0" fontId="14" fillId="10" borderId="4" xfId="0" applyFont="1" applyFill="1" applyBorder="1" applyAlignment="1" applyProtection="1">
      <alignment horizontal="center" vertical="center" wrapText="1"/>
      <protection locked="0"/>
    </xf>
    <xf numFmtId="0" fontId="13" fillId="3" borderId="10"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166" fontId="14" fillId="10" borderId="4" xfId="0" applyNumberFormat="1"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2" fillId="2" borderId="0" xfId="2" applyFill="1" applyBorder="1" applyAlignment="1">
      <alignment horizontal="left"/>
    </xf>
    <xf numFmtId="0" fontId="14" fillId="20" borderId="4" xfId="0" applyFont="1" applyFill="1" applyBorder="1" applyAlignment="1" applyProtection="1">
      <alignment horizontal="center" vertical="center" wrapText="1"/>
      <protection locked="0"/>
    </xf>
    <xf numFmtId="0" fontId="14" fillId="20" borderId="80"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hidden="1"/>
    </xf>
    <xf numFmtId="0" fontId="14" fillId="20" borderId="31"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4" fillId="10" borderId="31" xfId="0" applyFont="1" applyFill="1" applyBorder="1" applyAlignment="1" applyProtection="1">
      <alignment horizontal="center" vertical="center" wrapText="1"/>
      <protection hidden="1"/>
    </xf>
    <xf numFmtId="0" fontId="2" fillId="26" borderId="3" xfId="2" applyFill="1" applyBorder="1" applyProtection="1">
      <protection hidden="1"/>
    </xf>
    <xf numFmtId="0" fontId="21" fillId="25" borderId="0" xfId="2" applyFont="1" applyFill="1" applyBorder="1" applyProtection="1">
      <protection hidden="1"/>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10" fontId="14" fillId="10" borderId="31" xfId="1" applyNumberFormat="1" applyFont="1" applyFill="1" applyBorder="1" applyAlignment="1" applyProtection="1">
      <alignment horizontal="center" vertical="center" wrapText="1"/>
      <protection hidden="1"/>
    </xf>
    <xf numFmtId="0" fontId="0" fillId="2" borderId="0" xfId="0" applyFill="1" applyAlignment="1" applyProtection="1">
      <alignment horizontal="left" vertical="top" wrapText="1"/>
      <protection hidden="1"/>
    </xf>
    <xf numFmtId="0" fontId="0" fillId="2" borderId="0" xfId="0" applyFont="1" applyFill="1" applyAlignment="1" applyProtection="1">
      <alignment horizontal="left" indent="1"/>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0" fillId="2" borderId="0" xfId="0" applyFill="1" applyAlignment="1">
      <alignment horizontal="left" indent="1"/>
    </xf>
    <xf numFmtId="0" fontId="0" fillId="2" borderId="0" xfId="0" applyFill="1" applyAlignment="1">
      <alignment horizontal="left" indent="3"/>
    </xf>
    <xf numFmtId="0" fontId="22" fillId="2" borderId="0" xfId="2" applyFont="1" applyFill="1" applyBorder="1" applyAlignment="1">
      <alignment horizontal="left" vertical="center" indent="1"/>
    </xf>
    <xf numFmtId="0" fontId="2" fillId="2" borderId="0" xfId="2" applyFont="1" applyFill="1" applyBorder="1" applyAlignment="1">
      <alignment horizontal="left" indent="1"/>
    </xf>
    <xf numFmtId="0" fontId="65" fillId="2" borderId="0" xfId="0" applyFont="1" applyFill="1" applyAlignment="1">
      <alignment horizontal="left" vertical="center" indent="1"/>
    </xf>
    <xf numFmtId="0" fontId="2" fillId="2" borderId="0" xfId="2" applyFont="1" applyFill="1" applyAlignment="1">
      <alignment horizontal="left" indent="1"/>
    </xf>
    <xf numFmtId="0" fontId="21" fillId="2" borderId="0" xfId="2" applyFont="1" applyFill="1" applyBorder="1" applyAlignment="1" applyProtection="1">
      <alignment horizontal="left" vertical="top" indent="1"/>
      <protection hidden="1"/>
    </xf>
    <xf numFmtId="0" fontId="65" fillId="2" borderId="0" xfId="0" applyFont="1" applyFill="1" applyAlignment="1">
      <alignment horizontal="left" vertical="center" indent="3"/>
    </xf>
    <xf numFmtId="0" fontId="2" fillId="25" borderId="0" xfId="2" applyFill="1" applyBorder="1" applyAlignment="1" applyProtection="1">
      <alignment horizontal="left" indent="5"/>
      <protection hidden="1"/>
    </xf>
    <xf numFmtId="0" fontId="86" fillId="15" borderId="4" xfId="0" applyFont="1" applyFill="1" applyBorder="1" applyAlignment="1">
      <alignment horizontal="center" vertical="center" wrapText="1"/>
    </xf>
    <xf numFmtId="0" fontId="13" fillId="21" borderId="7" xfId="0" applyFont="1" applyFill="1" applyBorder="1" applyAlignment="1" applyProtection="1">
      <alignment horizontal="center" vertical="center" wrapText="1"/>
      <protection hidden="1"/>
    </xf>
    <xf numFmtId="0" fontId="86" fillId="15" borderId="4" xfId="0" applyFont="1" applyFill="1" applyBorder="1" applyAlignment="1">
      <alignment horizontal="center" vertical="center" wrapText="1"/>
    </xf>
    <xf numFmtId="0" fontId="153" fillId="2" borderId="0" xfId="2" applyFont="1" applyFill="1" applyBorder="1" applyAlignment="1" applyProtection="1">
      <alignment horizontal="left" indent="1"/>
      <protection hidden="1"/>
    </xf>
    <xf numFmtId="0" fontId="153" fillId="2" borderId="0" xfId="2" applyFont="1" applyFill="1" applyBorder="1" applyAlignment="1" applyProtection="1">
      <alignment horizontal="left" vertical="center" indent="1"/>
      <protection hidden="1"/>
    </xf>
    <xf numFmtId="0" fontId="28" fillId="2" borderId="0" xfId="3" applyFill="1" applyBorder="1"/>
    <xf numFmtId="0" fontId="49" fillId="3" borderId="8" xfId="0" applyFont="1" applyFill="1" applyBorder="1" applyAlignment="1">
      <alignment horizontal="center" vertical="center" wrapText="1"/>
    </xf>
    <xf numFmtId="0" fontId="81" fillId="2" borderId="0" xfId="0" applyFont="1" applyFill="1" applyProtection="1">
      <protection hidden="1"/>
    </xf>
    <xf numFmtId="0" fontId="82" fillId="2" borderId="0" xfId="0" applyFont="1" applyFill="1" applyProtection="1">
      <protection hidden="1"/>
    </xf>
    <xf numFmtId="0" fontId="82" fillId="2" borderId="0" xfId="0" applyFont="1" applyFill="1" applyAlignment="1" applyProtection="1">
      <alignment horizontal="left" indent="1"/>
      <protection hidden="1"/>
    </xf>
    <xf numFmtId="0" fontId="83" fillId="2" borderId="0" xfId="0" applyFont="1" applyFill="1" applyProtection="1">
      <protection hidden="1"/>
    </xf>
    <xf numFmtId="0" fontId="84" fillId="2" borderId="0" xfId="0" applyFont="1" applyFill="1" applyProtection="1">
      <protection hidden="1"/>
    </xf>
    <xf numFmtId="0" fontId="85" fillId="2" borderId="0" xfId="0" applyFont="1" applyFill="1" applyProtection="1">
      <protection hidden="1"/>
    </xf>
    <xf numFmtId="0" fontId="0" fillId="2" borderId="0" xfId="0" applyFont="1" applyFill="1" applyAlignment="1" applyProtection="1">
      <alignment vertical="top"/>
      <protection hidden="1"/>
    </xf>
    <xf numFmtId="0" fontId="43" fillId="2" borderId="0" xfId="0" applyFont="1" applyFill="1" applyProtection="1">
      <protection hidden="1"/>
    </xf>
    <xf numFmtId="0" fontId="0" fillId="2" borderId="0" xfId="0" applyFont="1" applyFill="1" applyAlignment="1" applyProtection="1">
      <alignment horizontal="left" vertical="top" wrapText="1"/>
      <protection hidden="1"/>
    </xf>
    <xf numFmtId="0" fontId="82" fillId="2" borderId="0" xfId="0" applyFont="1" applyFill="1" applyAlignment="1" applyProtection="1">
      <alignment horizontal="left"/>
      <protection hidden="1"/>
    </xf>
    <xf numFmtId="0" fontId="82" fillId="2" borderId="0" xfId="0" applyFont="1" applyFill="1" applyAlignment="1" applyProtection="1">
      <alignment horizontal="left" indent="8"/>
      <protection hidden="1"/>
    </xf>
    <xf numFmtId="0" fontId="82" fillId="2" borderId="0" xfId="0" applyFont="1" applyFill="1" applyAlignment="1" applyProtection="1">
      <alignment horizontal="left" indent="11"/>
      <protection hidden="1"/>
    </xf>
    <xf numFmtId="0" fontId="117" fillId="2" borderId="0" xfId="0" applyFont="1" applyFill="1" applyProtection="1">
      <protection hidden="1"/>
    </xf>
    <xf numFmtId="0" fontId="46" fillId="2" borderId="0" xfId="0" applyFont="1" applyFill="1" applyAlignment="1" applyProtection="1">
      <alignment vertical="center" wrapText="1"/>
      <protection hidden="1"/>
    </xf>
    <xf numFmtId="0" fontId="82" fillId="2" borderId="0" xfId="0" applyFont="1" applyFill="1" applyAlignment="1" applyProtection="1">
      <alignment vertical="center" wrapText="1"/>
      <protection hidden="1"/>
    </xf>
    <xf numFmtId="0" fontId="82" fillId="2" borderId="0" xfId="0" applyFont="1" applyFill="1" applyAlignment="1" applyProtection="1">
      <alignment vertical="center"/>
      <protection hidden="1"/>
    </xf>
    <xf numFmtId="0" fontId="82" fillId="2" borderId="0" xfId="0" applyFont="1" applyFill="1" applyAlignment="1" applyProtection="1">
      <alignment horizontal="left" indent="2"/>
      <protection hidden="1"/>
    </xf>
    <xf numFmtId="0" fontId="65" fillId="2" borderId="0" xfId="0" applyFont="1" applyFill="1" applyAlignment="1" applyProtection="1">
      <alignment vertical="top"/>
      <protection hidden="1"/>
    </xf>
    <xf numFmtId="0" fontId="14" fillId="11" borderId="0" xfId="0" applyFont="1" applyFill="1"/>
    <xf numFmtId="0" fontId="19" fillId="11" borderId="15" xfId="0" applyFont="1" applyFill="1" applyBorder="1" applyAlignment="1">
      <alignment horizontal="left" vertical="center"/>
    </xf>
    <xf numFmtId="0" fontId="21" fillId="2" borderId="0" xfId="2" applyFont="1" applyFill="1" applyBorder="1"/>
    <xf numFmtId="0" fontId="14" fillId="20" borderId="4"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13" fillId="16" borderId="7" xfId="0" applyFont="1" applyFill="1" applyBorder="1" applyAlignment="1" applyProtection="1">
      <alignment horizontal="center" vertical="center"/>
      <protection hidden="1"/>
    </xf>
    <xf numFmtId="0" fontId="32" fillId="14" borderId="0" xfId="2" applyFont="1" applyFill="1" applyBorder="1" applyAlignment="1" applyProtection="1">
      <alignment horizontal="center" vertical="center" wrapText="1"/>
      <protection hidden="1"/>
    </xf>
    <xf numFmtId="0" fontId="0" fillId="2" borderId="0" xfId="0" applyFill="1" applyAlignment="1" applyProtection="1">
      <alignment horizontal="left" vertical="top" wrapText="1"/>
      <protection hidden="1"/>
    </xf>
    <xf numFmtId="0" fontId="25" fillId="14" borderId="0" xfId="2" applyFont="1" applyFill="1" applyBorder="1" applyAlignment="1" applyProtection="1">
      <alignment horizontal="left" vertical="center" wrapText="1"/>
      <protection hidden="1"/>
    </xf>
    <xf numFmtId="0" fontId="32" fillId="14" borderId="0" xfId="2"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67" fillId="11" borderId="0" xfId="2" applyFont="1" applyFill="1" applyBorder="1" applyAlignment="1" applyProtection="1">
      <alignment horizontal="left" vertical="center" wrapText="1" indent="1"/>
      <protection hidden="1"/>
    </xf>
    <xf numFmtId="0" fontId="14" fillId="15" borderId="4" xfId="0" applyFont="1" applyFill="1" applyBorder="1" applyAlignment="1">
      <alignment horizontal="center" vertical="center" wrapText="1"/>
    </xf>
    <xf numFmtId="0" fontId="14" fillId="20" borderId="4" xfId="0" applyFont="1" applyFill="1" applyBorder="1" applyAlignment="1" applyProtection="1">
      <alignment horizontal="center" vertical="center" wrapText="1"/>
      <protection locked="0"/>
    </xf>
    <xf numFmtId="0" fontId="13" fillId="21" borderId="8" xfId="0" applyFont="1" applyFill="1" applyBorder="1" applyAlignment="1" applyProtection="1">
      <alignment horizontal="center" vertical="center" wrapText="1"/>
      <protection hidden="1"/>
    </xf>
    <xf numFmtId="0" fontId="22"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hidden="1"/>
    </xf>
    <xf numFmtId="0" fontId="2" fillId="10" borderId="60" xfId="2" applyFill="1" applyBorder="1" applyAlignment="1" applyProtection="1">
      <alignment horizontal="left" indent="7"/>
      <protection hidden="1"/>
    </xf>
    <xf numFmtId="0" fontId="14" fillId="20" borderId="32"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2" fillId="10" borderId="25" xfId="2" applyFill="1" applyBorder="1" applyAlignment="1" applyProtection="1">
      <alignment horizontal="left" indent="7"/>
      <protection hidden="1"/>
    </xf>
    <xf numFmtId="0" fontId="20" fillId="6" borderId="21" xfId="2" applyFont="1" applyFill="1" applyBorder="1" applyAlignment="1" applyProtection="1">
      <alignment horizontal="center" vertical="center" wrapText="1"/>
      <protection hidden="1"/>
    </xf>
    <xf numFmtId="0" fontId="22" fillId="11" borderId="5" xfId="2" applyFont="1" applyFill="1" applyBorder="1" applyAlignment="1" applyProtection="1">
      <alignment horizontal="center" vertical="center"/>
      <protection hidden="1"/>
    </xf>
    <xf numFmtId="0" fontId="6" fillId="9" borderId="4" xfId="2" applyFont="1" applyFill="1" applyBorder="1" applyAlignment="1" applyProtection="1">
      <alignment horizontal="center" vertical="center" wrapText="1"/>
      <protection hidden="1"/>
    </xf>
    <xf numFmtId="0" fontId="2" fillId="10" borderId="25" xfId="2" applyFont="1" applyFill="1" applyBorder="1" applyAlignment="1" applyProtection="1">
      <alignment horizontal="left" indent="6"/>
      <protection hidden="1"/>
    </xf>
    <xf numFmtId="0" fontId="22" fillId="2" borderId="0" xfId="2" applyFont="1" applyFill="1" applyBorder="1" applyAlignment="1" applyProtection="1">
      <alignment horizontal="left" indent="5"/>
      <protection hidden="1"/>
    </xf>
    <xf numFmtId="0" fontId="30" fillId="3" borderId="24" xfId="0" applyFont="1" applyFill="1" applyBorder="1" applyAlignment="1" applyProtection="1">
      <alignment horizontal="center" vertical="center" wrapText="1"/>
      <protection hidden="1"/>
    </xf>
    <xf numFmtId="0" fontId="30" fillId="3" borderId="21" xfId="0" applyFont="1" applyFill="1" applyBorder="1" applyAlignment="1" applyProtection="1">
      <alignment horizontal="center" vertical="center" wrapText="1"/>
      <protection hidden="1"/>
    </xf>
    <xf numFmtId="0" fontId="25" fillId="14" borderId="69" xfId="2" applyFont="1" applyFill="1" applyBorder="1" applyAlignment="1" applyProtection="1">
      <alignment vertical="center" wrapText="1"/>
      <protection hidden="1"/>
    </xf>
    <xf numFmtId="0" fontId="32" fillId="14" borderId="68" xfId="2" applyFont="1" applyFill="1" applyBorder="1" applyAlignment="1" applyProtection="1">
      <alignment horizontal="center" vertical="center" wrapText="1"/>
      <protection hidden="1"/>
    </xf>
    <xf numFmtId="0" fontId="25" fillId="14" borderId="70" xfId="2" applyFont="1" applyFill="1" applyBorder="1" applyAlignment="1" applyProtection="1">
      <alignment horizontal="center" vertical="center" wrapText="1"/>
      <protection hidden="1"/>
    </xf>
    <xf numFmtId="0" fontId="25" fillId="14" borderId="71" xfId="2" applyFont="1" applyFill="1" applyBorder="1" applyAlignment="1" applyProtection="1">
      <alignment vertical="center" wrapText="1"/>
      <protection hidden="1"/>
    </xf>
    <xf numFmtId="0" fontId="25" fillId="14" borderId="72" xfId="2" applyFont="1" applyFill="1" applyBorder="1" applyAlignment="1" applyProtection="1">
      <alignment horizontal="center" vertical="center" wrapText="1"/>
      <protection hidden="1"/>
    </xf>
    <xf numFmtId="0" fontId="25" fillId="14" borderId="73" xfId="2" applyFont="1" applyFill="1" applyBorder="1" applyAlignment="1" applyProtection="1">
      <alignment horizontal="left" vertical="center" wrapText="1"/>
      <protection hidden="1"/>
    </xf>
    <xf numFmtId="0" fontId="32" fillId="14" borderId="6" xfId="2" applyFont="1" applyFill="1" applyBorder="1" applyAlignment="1" applyProtection="1">
      <alignment horizontal="center" vertical="center" wrapText="1"/>
      <protection hidden="1"/>
    </xf>
    <xf numFmtId="0" fontId="25" fillId="14" borderId="74" xfId="2" applyFont="1" applyFill="1" applyBorder="1" applyAlignment="1" applyProtection="1">
      <alignment horizontal="center" vertical="center" wrapText="1"/>
      <protection hidden="1"/>
    </xf>
    <xf numFmtId="0" fontId="29" fillId="10" borderId="20" xfId="2" applyFont="1" applyFill="1" applyBorder="1" applyAlignment="1" applyProtection="1">
      <alignment horizontal="center" wrapText="1"/>
      <protection hidden="1"/>
    </xf>
    <xf numFmtId="0" fontId="29" fillId="10" borderId="24" xfId="2" applyFont="1" applyFill="1" applyBorder="1" applyAlignment="1" applyProtection="1">
      <alignment horizontal="center" vertical="center" wrapText="1"/>
      <protection hidden="1"/>
    </xf>
    <xf numFmtId="0" fontId="33" fillId="10" borderId="21" xfId="2" applyFont="1" applyFill="1" applyBorder="1" applyAlignment="1" applyProtection="1">
      <alignment horizontal="center" vertical="center" wrapText="1"/>
      <protection hidden="1"/>
    </xf>
    <xf numFmtId="0" fontId="30" fillId="6" borderId="68" xfId="0" applyFont="1" applyFill="1" applyBorder="1" applyAlignment="1" applyProtection="1">
      <alignment horizontal="center" vertical="center" wrapText="1"/>
      <protection hidden="1"/>
    </xf>
    <xf numFmtId="0" fontId="30" fillId="6" borderId="70" xfId="0" applyFont="1" applyFill="1" applyBorder="1" applyAlignment="1" applyProtection="1">
      <alignment horizontal="center" vertical="center" wrapText="1"/>
      <protection hidden="1"/>
    </xf>
    <xf numFmtId="0" fontId="30" fillId="5" borderId="24" xfId="0" applyFont="1" applyFill="1" applyBorder="1" applyAlignment="1" applyProtection="1">
      <alignment horizontal="center" vertical="center" wrapText="1"/>
      <protection hidden="1"/>
    </xf>
    <xf numFmtId="0" fontId="30" fillId="5" borderId="21" xfId="0" applyFont="1" applyFill="1" applyBorder="1" applyAlignment="1" applyProtection="1">
      <alignment horizontal="center" vertical="center" wrapText="1"/>
      <protection hidden="1"/>
    </xf>
    <xf numFmtId="0" fontId="25" fillId="14" borderId="69" xfId="2" applyFont="1" applyFill="1" applyBorder="1" applyAlignment="1" applyProtection="1">
      <alignment horizontal="left" vertical="center" wrapText="1"/>
      <protection hidden="1"/>
    </xf>
    <xf numFmtId="0" fontId="25" fillId="14" borderId="71" xfId="2" applyFont="1" applyFill="1" applyBorder="1" applyAlignment="1" applyProtection="1">
      <alignment horizontal="left" vertical="center" wrapText="1"/>
      <protection hidden="1"/>
    </xf>
    <xf numFmtId="0" fontId="30" fillId="16" borderId="24" xfId="0" applyFont="1" applyFill="1" applyBorder="1" applyAlignment="1" applyProtection="1">
      <alignment horizontal="center" vertical="center" wrapText="1"/>
      <protection hidden="1"/>
    </xf>
    <xf numFmtId="0" fontId="30" fillId="16" borderId="21" xfId="0" applyFont="1" applyFill="1" applyBorder="1" applyAlignment="1" applyProtection="1">
      <alignment horizontal="center" vertical="center" wrapText="1"/>
      <protection hidden="1"/>
    </xf>
    <xf numFmtId="0" fontId="30" fillId="21" borderId="24" xfId="0" applyFont="1" applyFill="1" applyBorder="1" applyAlignment="1" applyProtection="1">
      <alignment horizontal="center" vertical="center" wrapText="1"/>
      <protection hidden="1"/>
    </xf>
    <xf numFmtId="0" fontId="30" fillId="21" borderId="21"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4" fillId="20" borderId="8"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4" fillId="10" borderId="31" xfId="0" applyFont="1" applyFill="1" applyBorder="1" applyAlignment="1" applyProtection="1">
      <alignment horizontal="center" vertical="center" wrapText="1"/>
      <protection hidden="1"/>
    </xf>
    <xf numFmtId="0" fontId="6" fillId="9" borderId="4" xfId="2" applyFont="1" applyFill="1" applyBorder="1" applyAlignment="1" applyProtection="1">
      <alignment horizontal="center" vertical="center" wrapText="1"/>
      <protection hidden="1"/>
    </xf>
    <xf numFmtId="0" fontId="2" fillId="10" borderId="0" xfId="2" applyFill="1" applyBorder="1" applyAlignment="1" applyProtection="1">
      <alignment horizontal="left" indent="6"/>
      <protection hidden="1"/>
    </xf>
    <xf numFmtId="0" fontId="2" fillId="10" borderId="64" xfId="2" applyFill="1" applyBorder="1" applyAlignment="1" applyProtection="1">
      <alignment horizontal="left" indent="6"/>
      <protection hidden="1"/>
    </xf>
    <xf numFmtId="0" fontId="86" fillId="15" borderId="4" xfId="0" applyFont="1" applyFill="1" applyBorder="1" applyAlignment="1">
      <alignment horizontal="left" vertical="center" wrapText="1" indent="1"/>
    </xf>
    <xf numFmtId="0" fontId="49" fillId="3" borderId="10" xfId="0" applyFont="1" applyFill="1" applyBorder="1" applyAlignment="1">
      <alignment horizontal="left" vertical="center" wrapText="1" indent="1"/>
    </xf>
    <xf numFmtId="0" fontId="86" fillId="15" borderId="4" xfId="0" applyFont="1" applyFill="1" applyBorder="1" applyAlignment="1">
      <alignment horizontal="center" vertical="center" wrapText="1"/>
    </xf>
    <xf numFmtId="0" fontId="123" fillId="3" borderId="0" xfId="0" applyFont="1" applyFill="1" applyBorder="1" applyAlignment="1" applyProtection="1">
      <alignment vertical="center"/>
      <protection hidden="1"/>
    </xf>
    <xf numFmtId="0" fontId="0" fillId="3" borderId="0" xfId="0" applyFill="1" applyProtection="1">
      <protection hidden="1"/>
    </xf>
    <xf numFmtId="0" fontId="24" fillId="3" borderId="0" xfId="0" applyFont="1" applyFill="1" applyBorder="1" applyAlignment="1" applyProtection="1">
      <alignment vertical="center"/>
      <protection hidden="1"/>
    </xf>
    <xf numFmtId="0" fontId="25" fillId="3" borderId="0" xfId="2" applyFont="1" applyFill="1" applyBorder="1" applyAlignment="1" applyProtection="1">
      <alignment wrapText="1"/>
      <protection hidden="1"/>
    </xf>
    <xf numFmtId="0" fontId="30" fillId="13" borderId="24" xfId="0" applyFont="1" applyFill="1" applyBorder="1" applyAlignment="1" applyProtection="1">
      <alignment horizontal="center" vertical="center" wrapText="1"/>
      <protection hidden="1"/>
    </xf>
    <xf numFmtId="0" fontId="30" fillId="13" borderId="21" xfId="0" applyFont="1" applyFill="1" applyBorder="1" applyAlignment="1" applyProtection="1">
      <alignment horizontal="center" vertical="center" wrapText="1"/>
      <protection hidden="1"/>
    </xf>
    <xf numFmtId="0" fontId="30" fillId="7" borderId="24" xfId="0" applyFont="1" applyFill="1" applyBorder="1" applyAlignment="1" applyProtection="1">
      <alignment horizontal="center" vertical="center" wrapText="1"/>
      <protection hidden="1"/>
    </xf>
    <xf numFmtId="0" fontId="30" fillId="7" borderId="21" xfId="0" applyFont="1" applyFill="1" applyBorder="1" applyAlignment="1" applyProtection="1">
      <alignment horizontal="center" vertical="center" wrapText="1"/>
      <protection hidden="1"/>
    </xf>
    <xf numFmtId="0" fontId="82" fillId="3" borderId="0" xfId="2" applyFont="1" applyFill="1"/>
    <xf numFmtId="0" fontId="39" fillId="3" borderId="0" xfId="0" applyFont="1" applyFill="1" applyProtection="1">
      <protection hidden="1"/>
    </xf>
    <xf numFmtId="0" fontId="79" fillId="3" borderId="0" xfId="0" applyFont="1" applyFill="1" applyAlignment="1" applyProtection="1">
      <alignment horizontal="left"/>
      <protection hidden="1"/>
    </xf>
    <xf numFmtId="0" fontId="82" fillId="3" borderId="0" xfId="2" applyFont="1" applyFill="1" applyAlignment="1">
      <alignment horizontal="left" indent="1"/>
    </xf>
    <xf numFmtId="0" fontId="79" fillId="3" borderId="0" xfId="0" applyFont="1" applyFill="1" applyAlignment="1" applyProtection="1">
      <protection hidden="1"/>
    </xf>
    <xf numFmtId="0" fontId="126" fillId="3" borderId="0" xfId="0" applyFont="1" applyFill="1" applyAlignment="1" applyProtection="1">
      <protection hidden="1"/>
    </xf>
    <xf numFmtId="0" fontId="89" fillId="3" borderId="0" xfId="0" applyFont="1" applyFill="1" applyBorder="1" applyAlignment="1" applyProtection="1">
      <alignment horizontal="left" vertical="center" indent="1"/>
      <protection hidden="1"/>
    </xf>
    <xf numFmtId="0" fontId="39" fillId="3" borderId="0" xfId="0" applyFont="1" applyFill="1" applyBorder="1" applyProtection="1">
      <protection hidden="1"/>
    </xf>
    <xf numFmtId="0" fontId="155" fillId="2" borderId="0" xfId="0" applyFont="1" applyFill="1" applyAlignment="1">
      <alignment horizontal="left" vertical="center" indent="1"/>
    </xf>
    <xf numFmtId="0" fontId="156" fillId="2" borderId="0" xfId="0" applyFont="1" applyFill="1" applyAlignment="1" applyProtection="1">
      <alignment horizontal="left" indent="1"/>
      <protection hidden="1"/>
    </xf>
    <xf numFmtId="0" fontId="95" fillId="2" borderId="0" xfId="0" applyFont="1" applyFill="1" applyAlignment="1" applyProtection="1">
      <alignment horizontal="left" indent="2"/>
      <protection hidden="1"/>
    </xf>
    <xf numFmtId="0" fontId="125" fillId="3" borderId="0" xfId="0" applyFont="1" applyFill="1" applyBorder="1" applyAlignment="1" applyProtection="1">
      <alignment vertical="center"/>
      <protection hidden="1"/>
    </xf>
    <xf numFmtId="0" fontId="158" fillId="2" borderId="0" xfId="0" applyFont="1" applyFill="1" applyProtection="1">
      <protection hidden="1"/>
    </xf>
    <xf numFmtId="0" fontId="71" fillId="26" borderId="0" xfId="0" applyFont="1" applyFill="1" applyAlignment="1">
      <alignment horizontal="left" vertical="center"/>
    </xf>
    <xf numFmtId="0" fontId="2" fillId="10" borderId="63" xfId="2" quotePrefix="1" applyFont="1" applyFill="1" applyBorder="1" applyAlignment="1" applyProtection="1">
      <alignment horizontal="left" indent="6"/>
      <protection hidden="1"/>
    </xf>
    <xf numFmtId="0" fontId="21" fillId="2" borderId="0" xfId="0" applyFont="1" applyFill="1" applyBorder="1" applyAlignment="1" applyProtection="1">
      <alignment vertical="center" wrapText="1"/>
      <protection hidden="1"/>
    </xf>
    <xf numFmtId="0" fontId="22" fillId="2" borderId="0" xfId="2" applyFont="1" applyFill="1" applyBorder="1" applyAlignment="1" applyProtection="1">
      <alignment vertical="center"/>
      <protection hidden="1"/>
    </xf>
    <xf numFmtId="0" fontId="22" fillId="2" borderId="0" xfId="2" quotePrefix="1" applyFont="1" applyFill="1" applyAlignment="1" applyProtection="1">
      <alignment vertical="center"/>
      <protection hidden="1"/>
    </xf>
    <xf numFmtId="0" fontId="6" fillId="2" borderId="0" xfId="2" quotePrefix="1" applyFont="1" applyFill="1" applyAlignment="1" applyProtection="1">
      <alignment vertical="center"/>
      <protection hidden="1"/>
    </xf>
    <xf numFmtId="0" fontId="22" fillId="10" borderId="27" xfId="2" applyFont="1" applyFill="1" applyBorder="1" applyAlignment="1" applyProtection="1">
      <alignment horizontal="center" vertical="center"/>
      <protection hidden="1"/>
    </xf>
    <xf numFmtId="0" fontId="20" fillId="6" borderId="24" xfId="2"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indent="6"/>
      <protection hidden="1"/>
    </xf>
    <xf numFmtId="0" fontId="2" fillId="10" borderId="63" xfId="2" applyFont="1" applyFill="1" applyBorder="1" applyAlignment="1" applyProtection="1">
      <alignment horizontal="left" indent="7"/>
      <protection hidden="1"/>
    </xf>
    <xf numFmtId="0" fontId="2" fillId="2" borderId="0" xfId="2" applyFont="1" applyFill="1" applyBorder="1" applyAlignment="1" applyProtection="1">
      <alignment horizontal="left" vertical="center" indent="5"/>
      <protection hidden="1"/>
    </xf>
    <xf numFmtId="0" fontId="14" fillId="4" borderId="31" xfId="1" applyNumberFormat="1" applyFont="1" applyFill="1" applyBorder="1" applyAlignment="1" applyProtection="1">
      <alignment horizontal="center" vertical="center" wrapText="1"/>
      <protection hidden="1"/>
    </xf>
    <xf numFmtId="0" fontId="13" fillId="6" borderId="7" xfId="0" applyFont="1" applyFill="1" applyBorder="1" applyAlignment="1" applyProtection="1">
      <alignment horizontal="center" vertical="center"/>
      <protection hidden="1"/>
    </xf>
    <xf numFmtId="0" fontId="29" fillId="10" borderId="73" xfId="2" applyFont="1" applyFill="1" applyBorder="1" applyAlignment="1" applyProtection="1">
      <alignment horizontal="center" wrapText="1"/>
      <protection hidden="1"/>
    </xf>
    <xf numFmtId="0" fontId="29" fillId="10" borderId="6" xfId="2" applyFont="1" applyFill="1" applyBorder="1" applyAlignment="1" applyProtection="1">
      <alignment horizontal="center" vertical="center" wrapText="1"/>
      <protection hidden="1"/>
    </xf>
    <xf numFmtId="0" fontId="33" fillId="10" borderId="74" xfId="2" applyFont="1" applyFill="1" applyBorder="1" applyAlignment="1" applyProtection="1">
      <alignment horizontal="center" vertical="center" wrapText="1"/>
      <protection hidden="1"/>
    </xf>
    <xf numFmtId="0" fontId="25" fillId="14" borderId="73" xfId="2" applyFont="1" applyFill="1" applyBorder="1" applyAlignment="1" applyProtection="1">
      <alignment vertical="center" wrapText="1"/>
      <protection hidden="1"/>
    </xf>
    <xf numFmtId="0" fontId="2" fillId="10" borderId="25" xfId="2" applyFont="1" applyFill="1" applyBorder="1" applyAlignment="1" applyProtection="1">
      <alignment horizontal="left" indent="8"/>
      <protection hidden="1"/>
    </xf>
    <xf numFmtId="164" fontId="8" fillId="9" borderId="0" xfId="1" applyNumberFormat="1" applyFont="1" applyFill="1" applyBorder="1" applyAlignment="1" applyProtection="1">
      <alignment horizontal="center" vertical="center" wrapText="1"/>
      <protection hidden="1"/>
    </xf>
    <xf numFmtId="0" fontId="21" fillId="26" borderId="0" xfId="2" applyFont="1" applyFill="1" applyBorder="1" applyAlignment="1" applyProtection="1">
      <alignment horizontal="left" vertical="center" indent="6"/>
      <protection hidden="1"/>
    </xf>
    <xf numFmtId="0" fontId="0" fillId="2" borderId="0" xfId="0" applyFill="1" applyAlignment="1" applyProtection="1">
      <alignment horizontal="left" vertical="top" wrapText="1" indent="1"/>
      <protection hidden="1"/>
    </xf>
    <xf numFmtId="0" fontId="46" fillId="2" borderId="0" xfId="0" applyFont="1" applyFill="1" applyAlignment="1" applyProtection="1">
      <alignment horizontal="left" vertical="top" wrapText="1"/>
      <protection hidden="1"/>
    </xf>
    <xf numFmtId="0" fontId="22" fillId="2" borderId="0" xfId="2" applyFont="1" applyFill="1" applyBorder="1" applyAlignment="1" applyProtection="1">
      <alignment horizontal="left" wrapText="1" indent="5"/>
      <protection hidden="1"/>
    </xf>
    <xf numFmtId="0" fontId="14" fillId="20" borderId="4" xfId="0" applyFont="1" applyFill="1" applyBorder="1" applyAlignment="1" applyProtection="1">
      <alignment horizontal="center" vertical="center" wrapText="1"/>
      <protection locked="0"/>
    </xf>
    <xf numFmtId="0" fontId="22" fillId="11" borderId="1" xfId="2" applyFont="1" applyFill="1" applyBorder="1" applyAlignment="1" applyProtection="1">
      <alignment horizontal="center" vertical="center"/>
      <protection hidden="1"/>
    </xf>
    <xf numFmtId="0" fontId="2" fillId="10" borderId="63" xfId="2" applyFont="1" applyFill="1" applyBorder="1" applyAlignment="1" applyProtection="1">
      <alignment horizontal="left" indent="8"/>
      <protection hidden="1"/>
    </xf>
    <xf numFmtId="0" fontId="2" fillId="10" borderId="0" xfId="2" applyFont="1" applyFill="1" applyBorder="1" applyAlignment="1" applyProtection="1">
      <alignment horizontal="left" indent="8"/>
      <protection hidden="1"/>
    </xf>
    <xf numFmtId="0" fontId="2" fillId="10" borderId="64" xfId="2" applyFont="1" applyFill="1" applyBorder="1" applyAlignment="1" applyProtection="1">
      <alignment horizontal="left" indent="8"/>
      <protection hidden="1"/>
    </xf>
    <xf numFmtId="0" fontId="2" fillId="10" borderId="25" xfId="2" applyFill="1" applyBorder="1" applyAlignment="1" applyProtection="1">
      <alignment horizontal="left" indent="8"/>
      <protection hidden="1"/>
    </xf>
    <xf numFmtId="0" fontId="2" fillId="10" borderId="26" xfId="2" applyFill="1" applyBorder="1" applyAlignment="1" applyProtection="1">
      <alignment horizontal="left" indent="8"/>
      <protection hidden="1"/>
    </xf>
    <xf numFmtId="0" fontId="2" fillId="10" borderId="27" xfId="2" applyFill="1" applyBorder="1" applyAlignment="1" applyProtection="1">
      <alignment horizontal="left" indent="8"/>
      <protection hidden="1"/>
    </xf>
    <xf numFmtId="0" fontId="2" fillId="10" borderId="60" xfId="2" applyFill="1" applyBorder="1" applyAlignment="1" applyProtection="1">
      <alignment horizontal="left" indent="7"/>
      <protection hidden="1"/>
    </xf>
    <xf numFmtId="0" fontId="14" fillId="20" borderId="32"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6" fillId="9" borderId="4" xfId="2"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indent="5"/>
      <protection hidden="1"/>
    </xf>
    <xf numFmtId="0" fontId="2" fillId="10" borderId="0" xfId="2" applyFont="1" applyFill="1" applyBorder="1" applyAlignment="1" applyProtection="1">
      <alignment horizontal="left" indent="6"/>
      <protection hidden="1"/>
    </xf>
    <xf numFmtId="0" fontId="2" fillId="10" borderId="64" xfId="2" applyFont="1" applyFill="1" applyBorder="1" applyAlignment="1" applyProtection="1">
      <alignment horizontal="left" indent="6"/>
      <protection hidden="1"/>
    </xf>
    <xf numFmtId="0" fontId="2" fillId="10" borderId="63" xfId="2" applyFont="1" applyFill="1" applyBorder="1" applyAlignment="1" applyProtection="1">
      <alignment horizontal="left" vertical="center" indent="8"/>
      <protection hidden="1"/>
    </xf>
    <xf numFmtId="0" fontId="115" fillId="10" borderId="0" xfId="0" applyFont="1" applyFill="1" applyBorder="1" applyAlignment="1">
      <alignment horizontal="left" vertical="center" wrapText="1" indent="15"/>
    </xf>
    <xf numFmtId="0" fontId="115" fillId="10" borderId="64" xfId="0" applyFont="1" applyFill="1" applyBorder="1" applyAlignment="1">
      <alignment horizontal="left" vertical="center" wrapText="1" indent="15"/>
    </xf>
    <xf numFmtId="0" fontId="2" fillId="10" borderId="63" xfId="2" applyFont="1" applyFill="1" applyBorder="1" applyAlignment="1" applyProtection="1">
      <alignment horizontal="left" vertical="center" wrapText="1" indent="8"/>
      <protection hidden="1"/>
    </xf>
    <xf numFmtId="0" fontId="2" fillId="10" borderId="0" xfId="2" applyFont="1" applyFill="1" applyBorder="1" applyAlignment="1" applyProtection="1">
      <alignment horizontal="left" vertical="center" wrapText="1" indent="8"/>
      <protection hidden="1"/>
    </xf>
    <xf numFmtId="0" fontId="2" fillId="10" borderId="64" xfId="2" applyFont="1" applyFill="1" applyBorder="1" applyAlignment="1" applyProtection="1">
      <alignment horizontal="left" vertical="center" wrapText="1" indent="8"/>
      <protection hidden="1"/>
    </xf>
    <xf numFmtId="0" fontId="2" fillId="10" borderId="26" xfId="2" applyFont="1" applyFill="1" applyBorder="1" applyAlignment="1" applyProtection="1">
      <alignment horizontal="left" vertical="center" wrapText="1" indent="8"/>
      <protection hidden="1"/>
    </xf>
    <xf numFmtId="0" fontId="2" fillId="10" borderId="27" xfId="2" applyFont="1" applyFill="1" applyBorder="1" applyAlignment="1" applyProtection="1">
      <alignment horizontal="left" vertical="center" wrapText="1" indent="8"/>
      <protection hidden="1"/>
    </xf>
    <xf numFmtId="0" fontId="115" fillId="2" borderId="0" xfId="0" applyFont="1" applyFill="1" applyAlignment="1">
      <alignment horizontal="left" vertical="center" wrapText="1" indent="7"/>
    </xf>
    <xf numFmtId="0" fontId="13" fillId="6" borderId="10" xfId="0"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21" fillId="2" borderId="0" xfId="2" applyFont="1" applyFill="1" applyAlignment="1" applyProtection="1">
      <alignment vertical="center"/>
      <protection hidden="1"/>
    </xf>
    <xf numFmtId="0" fontId="2" fillId="2" borderId="0" xfId="2" applyFont="1" applyFill="1" applyAlignment="1" applyProtection="1">
      <alignment vertical="center"/>
      <protection hidden="1"/>
    </xf>
    <xf numFmtId="0" fontId="11" fillId="6" borderId="7" xfId="2" applyFont="1" applyFill="1" applyBorder="1" applyAlignment="1" applyProtection="1">
      <alignment horizontal="center" wrapText="1"/>
      <protection hidden="1"/>
    </xf>
    <xf numFmtId="0" fontId="2" fillId="10" borderId="4" xfId="2" applyFill="1" applyBorder="1" applyAlignment="1" applyProtection="1">
      <alignment horizontal="center" vertical="center"/>
      <protection hidden="1"/>
    </xf>
    <xf numFmtId="0" fontId="2" fillId="4" borderId="4" xfId="0" applyFont="1" applyFill="1" applyBorder="1" applyAlignment="1">
      <alignment vertical="center"/>
    </xf>
    <xf numFmtId="3" fontId="2" fillId="20" borderId="10" xfId="0" applyNumberFormat="1" applyFont="1" applyFill="1" applyBorder="1" applyAlignment="1" applyProtection="1">
      <alignment horizontal="center" vertical="center"/>
      <protection locked="0"/>
    </xf>
    <xf numFmtId="3" fontId="2" fillId="20" borderId="8" xfId="0" applyNumberFormat="1" applyFont="1" applyFill="1" applyBorder="1" applyAlignment="1" applyProtection="1">
      <alignment horizontal="center" vertical="center"/>
      <protection locked="0"/>
    </xf>
    <xf numFmtId="0" fontId="19" fillId="3" borderId="0" xfId="0" applyFont="1" applyFill="1"/>
    <xf numFmtId="0" fontId="2" fillId="10" borderId="4" xfId="2" applyFill="1" applyBorder="1" applyAlignment="1" applyProtection="1">
      <alignment vertical="center"/>
      <protection hidden="1"/>
    </xf>
    <xf numFmtId="0" fontId="22" fillId="2" borderId="0" xfId="2" applyFont="1" applyFill="1" applyAlignment="1" applyProtection="1">
      <alignment horizontal="left" vertical="center" indent="5"/>
      <protection hidden="1"/>
    </xf>
    <xf numFmtId="0" fontId="2" fillId="10" borderId="60" xfId="2" applyFill="1" applyBorder="1" applyAlignment="1" applyProtection="1">
      <alignment horizontal="left" indent="6"/>
      <protection hidden="1"/>
    </xf>
    <xf numFmtId="0" fontId="2" fillId="10" borderId="61" xfId="2" applyFill="1" applyBorder="1" applyAlignment="1" applyProtection="1">
      <alignment horizontal="left" indent="6"/>
      <protection hidden="1"/>
    </xf>
    <xf numFmtId="0" fontId="2" fillId="10" borderId="62" xfId="2" applyFill="1" applyBorder="1" applyAlignment="1" applyProtection="1">
      <alignment horizontal="left" indent="6"/>
      <protection hidden="1"/>
    </xf>
    <xf numFmtId="0" fontId="166" fillId="3" borderId="5" xfId="6" applyFont="1" applyFill="1" applyBorder="1" applyAlignment="1">
      <alignment horizontal="center" vertical="center"/>
    </xf>
    <xf numFmtId="2" fontId="8" fillId="9" borderId="4" xfId="6" applyNumberFormat="1" applyFont="1" applyFill="1" applyBorder="1" applyAlignment="1" applyProtection="1">
      <alignment horizontal="center" vertical="center"/>
      <protection hidden="1"/>
    </xf>
    <xf numFmtId="0" fontId="2" fillId="20" borderId="5" xfId="6" applyFont="1" applyFill="1" applyBorder="1" applyAlignment="1" applyProtection="1">
      <alignment horizontal="center" vertical="center"/>
      <protection locked="0"/>
    </xf>
    <xf numFmtId="0" fontId="22" fillId="20" borderId="5" xfId="6" applyFont="1" applyFill="1" applyBorder="1" applyAlignment="1" applyProtection="1">
      <alignment horizontal="center" vertical="center"/>
      <protection locked="0"/>
    </xf>
    <xf numFmtId="2" fontId="2" fillId="10" borderId="5" xfId="6" applyNumberFormat="1" applyFont="1" applyFill="1" applyBorder="1" applyAlignment="1" applyProtection="1">
      <alignment horizontal="center" vertical="center"/>
      <protection hidden="1"/>
    </xf>
    <xf numFmtId="9" fontId="2" fillId="20" borderId="5" xfId="1" applyFont="1" applyFill="1" applyBorder="1" applyAlignment="1" applyProtection="1">
      <alignment horizontal="center" vertical="center"/>
      <protection locked="0"/>
    </xf>
    <xf numFmtId="0" fontId="2" fillId="10" borderId="5" xfId="6" applyFont="1" applyFill="1" applyBorder="1" applyAlignment="1" applyProtection="1">
      <alignment horizontal="center" vertical="center"/>
      <protection hidden="1"/>
    </xf>
    <xf numFmtId="165" fontId="2" fillId="10" borderId="5" xfId="6" applyNumberFormat="1" applyFont="1" applyFill="1" applyBorder="1" applyAlignment="1" applyProtection="1">
      <alignment horizontal="center" vertical="center"/>
      <protection hidden="1"/>
    </xf>
    <xf numFmtId="165" fontId="22" fillId="4" borderId="5" xfId="6" applyNumberFormat="1" applyFont="1" applyFill="1" applyBorder="1" applyAlignment="1" applyProtection="1">
      <alignment horizontal="center" vertical="center"/>
      <protection hidden="1"/>
    </xf>
    <xf numFmtId="0" fontId="14" fillId="20" borderId="5" xfId="0" applyFont="1" applyFill="1" applyBorder="1" applyAlignment="1" applyProtection="1">
      <alignment horizontal="center" vertical="center"/>
      <protection locked="0"/>
    </xf>
    <xf numFmtId="9" fontId="14" fillId="20" borderId="5" xfId="1" applyFont="1" applyFill="1" applyBorder="1" applyAlignment="1" applyProtection="1">
      <alignment horizontal="center" vertical="center"/>
      <protection locked="0"/>
    </xf>
    <xf numFmtId="0" fontId="49" fillId="3" borderId="7" xfId="0" applyFont="1" applyFill="1" applyBorder="1" applyAlignment="1">
      <alignment horizontal="center" vertical="center" wrapText="1"/>
    </xf>
    <xf numFmtId="3" fontId="86" fillId="15" borderId="4" xfId="0" applyNumberFormat="1" applyFont="1" applyFill="1" applyBorder="1" applyAlignment="1">
      <alignment horizontal="center" vertical="center" wrapText="1"/>
    </xf>
    <xf numFmtId="0" fontId="13" fillId="21" borderId="7"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22" fillId="11" borderId="1" xfId="2" applyFont="1" applyFill="1" applyBorder="1" applyAlignment="1" applyProtection="1">
      <alignment horizontal="center" vertical="center"/>
      <protection hidden="1"/>
    </xf>
    <xf numFmtId="0" fontId="2" fillId="10" borderId="64" xfId="2" applyFill="1" applyBorder="1" applyAlignment="1" applyProtection="1">
      <alignment horizontal="left" indent="8"/>
      <protection hidden="1"/>
    </xf>
    <xf numFmtId="0" fontId="2" fillId="10" borderId="27" xfId="2" applyFill="1" applyBorder="1" applyAlignment="1" applyProtection="1">
      <alignment horizontal="left" indent="8"/>
      <protection hidden="1"/>
    </xf>
    <xf numFmtId="0" fontId="2" fillId="10" borderId="60" xfId="2" applyFill="1" applyBorder="1" applyAlignment="1" applyProtection="1">
      <alignment horizontal="left" indent="7"/>
      <protection hidden="1"/>
    </xf>
    <xf numFmtId="0" fontId="14" fillId="20" borderId="10"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wrapText="1"/>
      <protection hidden="1"/>
    </xf>
    <xf numFmtId="0" fontId="13" fillId="6" borderId="7" xfId="0" applyFont="1" applyFill="1" applyBorder="1" applyAlignment="1" applyProtection="1">
      <alignment horizontal="center" vertical="center"/>
      <protection hidden="1"/>
    </xf>
    <xf numFmtId="0" fontId="14" fillId="10" borderId="31" xfId="0" applyFont="1" applyFill="1" applyBorder="1" applyAlignment="1" applyProtection="1">
      <alignment horizontal="center" vertical="center" wrapText="1"/>
      <protection hidden="1"/>
    </xf>
    <xf numFmtId="0" fontId="6" fillId="9" borderId="4" xfId="2" applyFont="1" applyFill="1" applyBorder="1" applyAlignment="1" applyProtection="1">
      <alignment horizontal="center" vertical="center" wrapText="1"/>
      <protection hidden="1"/>
    </xf>
    <xf numFmtId="0" fontId="13" fillId="3" borderId="7" xfId="0" applyFont="1" applyFill="1" applyBorder="1" applyAlignment="1" applyProtection="1">
      <alignment horizontal="center" vertical="center"/>
      <protection hidden="1"/>
    </xf>
    <xf numFmtId="0" fontId="14" fillId="20" borderId="65" xfId="0" applyFont="1" applyFill="1" applyBorder="1" applyAlignment="1" applyProtection="1">
      <alignment horizontal="center" vertical="center" wrapText="1"/>
      <protection locked="0"/>
    </xf>
    <xf numFmtId="0" fontId="2" fillId="10" borderId="61" xfId="2" applyFill="1" applyBorder="1" applyAlignment="1" applyProtection="1">
      <alignment horizontal="left" indent="6"/>
      <protection hidden="1"/>
    </xf>
    <xf numFmtId="0" fontId="2" fillId="10" borderId="62" xfId="2" applyFill="1" applyBorder="1" applyAlignment="1" applyProtection="1">
      <alignment horizontal="left" indent="6"/>
      <protection hidden="1"/>
    </xf>
    <xf numFmtId="0" fontId="22" fillId="2" borderId="0" xfId="2" applyFont="1" applyFill="1" applyBorder="1" applyAlignment="1" applyProtection="1">
      <alignment horizontal="left" indent="5"/>
      <protection hidden="1"/>
    </xf>
    <xf numFmtId="0" fontId="2" fillId="10" borderId="68" xfId="2" applyFill="1" applyBorder="1" applyProtection="1">
      <protection hidden="1"/>
    </xf>
    <xf numFmtId="0" fontId="2" fillId="10" borderId="70" xfId="2" applyFill="1" applyBorder="1" applyProtection="1">
      <protection hidden="1"/>
    </xf>
    <xf numFmtId="0" fontId="2" fillId="10" borderId="6" xfId="2" applyFill="1" applyBorder="1" applyProtection="1">
      <protection hidden="1"/>
    </xf>
    <xf numFmtId="0" fontId="2" fillId="10" borderId="74" xfId="2" applyFill="1" applyBorder="1" applyProtection="1">
      <protection hidden="1"/>
    </xf>
    <xf numFmtId="0" fontId="0" fillId="2" borderId="0" xfId="0" applyFont="1" applyFill="1" applyAlignment="1" applyProtection="1">
      <alignment horizontal="left" vertical="top" indent="3"/>
      <protection hidden="1"/>
    </xf>
    <xf numFmtId="0" fontId="2" fillId="10" borderId="63" xfId="2" applyFill="1" applyBorder="1" applyAlignment="1" applyProtection="1">
      <alignment horizontal="left" indent="9"/>
      <protection hidden="1"/>
    </xf>
    <xf numFmtId="0" fontId="2" fillId="10" borderId="25" xfId="2" applyFill="1" applyBorder="1" applyAlignment="1" applyProtection="1">
      <alignment horizontal="left" indent="9"/>
      <protection hidden="1"/>
    </xf>
    <xf numFmtId="0" fontId="13" fillId="5" borderId="7" xfId="0" applyFont="1" applyFill="1" applyBorder="1" applyAlignment="1" applyProtection="1">
      <alignment horizontal="center" vertical="center"/>
      <protection hidden="1"/>
    </xf>
    <xf numFmtId="0" fontId="13" fillId="5" borderId="7" xfId="0" applyFont="1" applyFill="1" applyBorder="1" applyAlignment="1" applyProtection="1">
      <alignment horizontal="center" vertical="center"/>
      <protection hidden="1"/>
    </xf>
    <xf numFmtId="0" fontId="2" fillId="10" borderId="69" xfId="2" applyFill="1" applyBorder="1" applyAlignment="1" applyProtection="1">
      <alignment horizontal="left" vertical="center" indent="6"/>
      <protection hidden="1"/>
    </xf>
    <xf numFmtId="0" fontId="2" fillId="10" borderId="73" xfId="2" applyFill="1" applyBorder="1" applyAlignment="1" applyProtection="1">
      <alignment horizontal="left" vertical="center" indent="6"/>
      <protection hidden="1"/>
    </xf>
    <xf numFmtId="0" fontId="14" fillId="20" borderId="4"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left" vertical="center" wrapText="1"/>
      <protection hidden="1"/>
    </xf>
    <xf numFmtId="0" fontId="14" fillId="20" borderId="31"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wrapText="1"/>
      <protection hidden="1"/>
    </xf>
    <xf numFmtId="166" fontId="14" fillId="20" borderId="4" xfId="0" applyNumberFormat="1" applyFont="1" applyFill="1" applyBorder="1" applyAlignment="1" applyProtection="1">
      <alignment horizontal="center" vertical="center" wrapText="1"/>
      <protection locked="0"/>
    </xf>
    <xf numFmtId="166" fontId="14" fillId="20" borderId="10" xfId="0" applyNumberFormat="1" applyFont="1" applyFill="1" applyBorder="1" applyAlignment="1" applyProtection="1">
      <alignment horizontal="center" vertical="center" wrapText="1"/>
      <protection locked="0"/>
    </xf>
    <xf numFmtId="0" fontId="13" fillId="6" borderId="0" xfId="0" applyFont="1" applyFill="1" applyBorder="1" applyAlignment="1" applyProtection="1">
      <alignment horizontal="center" vertical="center" wrapText="1"/>
      <protection hidden="1"/>
    </xf>
    <xf numFmtId="0" fontId="20" fillId="16" borderId="61" xfId="2" applyFont="1" applyFill="1" applyBorder="1" applyAlignment="1" applyProtection="1">
      <alignment horizontal="center" vertical="center" wrapText="1"/>
      <protection hidden="1"/>
    </xf>
    <xf numFmtId="0" fontId="20" fillId="16" borderId="62" xfId="2" applyFont="1" applyFill="1" applyBorder="1" applyAlignment="1" applyProtection="1">
      <alignment horizontal="center" vertical="center" wrapText="1"/>
      <protection hidden="1"/>
    </xf>
    <xf numFmtId="0" fontId="2" fillId="2" borderId="0" xfId="2" applyFill="1" applyBorder="1" applyAlignment="1" applyProtection="1">
      <alignment horizontal="center"/>
      <protection hidden="1"/>
    </xf>
    <xf numFmtId="0" fontId="2" fillId="2" borderId="0" xfId="2" applyFill="1" applyBorder="1" applyAlignment="1" applyProtection="1">
      <alignment horizontal="left" indent="6"/>
      <protection hidden="1"/>
    </xf>
    <xf numFmtId="0" fontId="2" fillId="2" borderId="0" xfId="2" applyFill="1" applyAlignment="1" applyProtection="1">
      <alignment vertical="center"/>
      <protection hidden="1"/>
    </xf>
    <xf numFmtId="0" fontId="2" fillId="2" borderId="3" xfId="2" applyFill="1" applyBorder="1" applyProtection="1">
      <protection hidden="1"/>
    </xf>
    <xf numFmtId="0" fontId="13" fillId="6" borderId="10" xfId="0" applyFont="1" applyFill="1" applyBorder="1" applyAlignment="1" applyProtection="1">
      <alignment horizontal="center" vertical="center"/>
      <protection hidden="1"/>
    </xf>
    <xf numFmtId="1" fontId="14" fillId="20" borderId="4" xfId="0" quotePrefix="1" applyNumberFormat="1" applyFont="1" applyFill="1" applyBorder="1" applyAlignment="1" applyProtection="1">
      <alignment horizontal="center" vertical="center" wrapText="1"/>
      <protection locked="0"/>
    </xf>
    <xf numFmtId="2" fontId="22" fillId="2" borderId="0" xfId="2" applyNumberFormat="1" applyFont="1" applyFill="1" applyAlignment="1" applyProtection="1">
      <alignment horizontal="left" vertical="center"/>
      <protection hidden="1"/>
    </xf>
    <xf numFmtId="0" fontId="49" fillId="34" borderId="135" xfId="0" applyFont="1" applyFill="1" applyBorder="1" applyAlignment="1">
      <alignment horizontal="center" vertical="center"/>
    </xf>
    <xf numFmtId="0" fontId="49" fillId="34" borderId="136" xfId="0" applyFont="1" applyFill="1" applyBorder="1" applyAlignment="1">
      <alignment horizontal="center" vertical="center"/>
    </xf>
    <xf numFmtId="0" fontId="14" fillId="15" borderId="137" xfId="0" applyFont="1" applyFill="1" applyBorder="1" applyAlignment="1">
      <alignment horizontal="center" vertical="center" wrapText="1"/>
    </xf>
    <xf numFmtId="10" fontId="14" fillId="15" borderId="138" xfId="0" applyNumberFormat="1" applyFont="1" applyFill="1" applyBorder="1" applyAlignment="1">
      <alignment horizontal="center" vertical="center" wrapText="1"/>
    </xf>
    <xf numFmtId="3" fontId="14" fillId="15" borderId="137" xfId="0" applyNumberFormat="1" applyFont="1" applyFill="1" applyBorder="1" applyAlignment="1">
      <alignment horizontal="center" vertical="center" wrapText="1"/>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2" fillId="2" borderId="0" xfId="2" applyFont="1" applyFill="1" applyBorder="1" applyAlignment="1" applyProtection="1">
      <alignment vertical="center"/>
      <protection hidden="1"/>
    </xf>
    <xf numFmtId="0" fontId="0" fillId="7" borderId="0" xfId="0" applyFill="1" applyProtection="1">
      <protection hidden="1"/>
    </xf>
    <xf numFmtId="0" fontId="0" fillId="0" borderId="69" xfId="0" applyBorder="1" applyProtection="1">
      <protection hidden="1"/>
    </xf>
    <xf numFmtId="0" fontId="0" fillId="0" borderId="68" xfId="0" applyBorder="1" applyProtection="1">
      <protection hidden="1"/>
    </xf>
    <xf numFmtId="0" fontId="82" fillId="0" borderId="70" xfId="0" applyFont="1" applyBorder="1" applyProtection="1">
      <protection hidden="1"/>
    </xf>
    <xf numFmtId="0" fontId="0" fillId="0" borderId="71" xfId="0" applyBorder="1" applyProtection="1">
      <protection hidden="1"/>
    </xf>
    <xf numFmtId="0" fontId="0" fillId="0" borderId="0" xfId="0" applyBorder="1" applyProtection="1">
      <protection hidden="1"/>
    </xf>
    <xf numFmtId="0" fontId="82" fillId="0" borderId="72" xfId="0" applyFont="1" applyBorder="1" applyProtection="1">
      <protection hidden="1"/>
    </xf>
    <xf numFmtId="0" fontId="0" fillId="7" borderId="0" xfId="0" applyFill="1" applyBorder="1" applyProtection="1">
      <protection hidden="1"/>
    </xf>
    <xf numFmtId="0" fontId="0" fillId="0" borderId="72" xfId="0" applyBorder="1" applyProtection="1">
      <protection hidden="1"/>
    </xf>
    <xf numFmtId="0" fontId="0" fillId="0" borderId="73" xfId="0" applyBorder="1" applyProtection="1">
      <protection hidden="1"/>
    </xf>
    <xf numFmtId="0" fontId="0" fillId="0" borderId="6" xfId="0" applyBorder="1" applyProtection="1">
      <protection hidden="1"/>
    </xf>
    <xf numFmtId="0" fontId="82" fillId="0" borderId="74" xfId="0" applyFont="1" applyBorder="1" applyProtection="1">
      <protection hidden="1"/>
    </xf>
    <xf numFmtId="0" fontId="0" fillId="0" borderId="71" xfId="0" applyFill="1" applyBorder="1" applyProtection="1">
      <protection hidden="1"/>
    </xf>
    <xf numFmtId="166" fontId="14" fillId="10" borderId="80" xfId="0" applyNumberFormat="1" applyFont="1" applyFill="1" applyBorder="1" applyAlignment="1" applyProtection="1">
      <alignment horizontal="center" vertical="center" wrapText="1"/>
      <protection hidden="1"/>
    </xf>
    <xf numFmtId="0" fontId="14" fillId="20" borderId="31" xfId="0" applyNumberFormat="1" applyFont="1" applyFill="1" applyBorder="1" applyAlignment="1" applyProtection="1">
      <alignment horizontal="center" vertical="center" wrapText="1"/>
      <protection locked="0"/>
    </xf>
    <xf numFmtId="0" fontId="14" fillId="10" borderId="4" xfId="0" applyFont="1" applyFill="1" applyBorder="1" applyAlignment="1" applyProtection="1">
      <alignment horizontal="center" vertical="center"/>
      <protection hidden="1"/>
    </xf>
    <xf numFmtId="0" fontId="22" fillId="25" borderId="0" xfId="2" applyFont="1" applyFill="1" applyAlignment="1" applyProtection="1">
      <alignment horizontal="left" vertical="center" indent="5"/>
      <protection hidden="1"/>
    </xf>
    <xf numFmtId="2" fontId="14" fillId="20" borderId="4" xfId="0" applyNumberFormat="1"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40" fillId="21" borderId="0" xfId="0" applyFont="1" applyFill="1" applyBorder="1" applyAlignment="1" applyProtection="1">
      <alignment horizontal="left" vertical="center" indent="1"/>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22" fillId="11" borderId="1" xfId="2" applyFont="1" applyFill="1" applyBorder="1" applyAlignment="1" applyProtection="1">
      <alignment horizontal="center" vertical="center"/>
      <protection hidden="1"/>
    </xf>
    <xf numFmtId="0" fontId="8" fillId="20" borderId="2" xfId="2" applyFont="1" applyFill="1" applyBorder="1" applyAlignment="1" applyProtection="1">
      <alignment horizontal="center" vertical="center"/>
      <protection locked="0"/>
    </xf>
    <xf numFmtId="0" fontId="13" fillId="21" borderId="10" xfId="0" applyFont="1" applyFill="1" applyBorder="1" applyAlignment="1" applyProtection="1">
      <alignment horizontal="center" vertical="center"/>
      <protection hidden="1"/>
    </xf>
    <xf numFmtId="0" fontId="13" fillId="13" borderId="7" xfId="0" applyFont="1" applyFill="1" applyBorder="1" applyAlignment="1" applyProtection="1">
      <alignment horizontal="center" vertical="center"/>
      <protection hidden="1"/>
    </xf>
    <xf numFmtId="0" fontId="14" fillId="20" borderId="31"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protection hidden="1"/>
    </xf>
    <xf numFmtId="166" fontId="14" fillId="20" borderId="4" xfId="0" applyNumberFormat="1" applyFont="1" applyFill="1" applyBorder="1" applyAlignment="1" applyProtection="1">
      <alignment horizontal="center" vertical="center" wrapText="1"/>
      <protection locked="0"/>
    </xf>
    <xf numFmtId="0" fontId="2" fillId="10" borderId="63" xfId="2" applyFont="1" applyFill="1" applyBorder="1" applyAlignment="1" applyProtection="1">
      <alignment horizontal="left" indent="7"/>
      <protection hidden="1"/>
    </xf>
    <xf numFmtId="0" fontId="2" fillId="10" borderId="0" xfId="2" applyFont="1" applyFill="1" applyBorder="1" applyAlignment="1" applyProtection="1">
      <alignment horizontal="left" indent="7"/>
      <protection hidden="1"/>
    </xf>
    <xf numFmtId="0" fontId="2" fillId="10" borderId="64" xfId="2" applyFont="1" applyFill="1" applyBorder="1" applyAlignment="1" applyProtection="1">
      <alignment horizontal="left" indent="7"/>
      <protection hidden="1"/>
    </xf>
    <xf numFmtId="0" fontId="13" fillId="3" borderId="7" xfId="0" applyFont="1" applyFill="1" applyBorder="1" applyAlignment="1" applyProtection="1">
      <alignment horizontal="center" vertical="center"/>
      <protection hidden="1"/>
    </xf>
    <xf numFmtId="0" fontId="2" fillId="2" borderId="0" xfId="2" applyFont="1" applyFill="1" applyBorder="1" applyAlignment="1" applyProtection="1">
      <alignment horizontal="left" vertical="center" wrapText="1" indent="4"/>
      <protection hidden="1"/>
    </xf>
    <xf numFmtId="0" fontId="82" fillId="31" borderId="11" xfId="0" applyFont="1" applyFill="1" applyBorder="1" applyAlignment="1" applyProtection="1">
      <alignment horizontal="left" vertical="center"/>
      <protection locked="0"/>
    </xf>
    <xf numFmtId="0" fontId="82" fillId="31" borderId="12" xfId="0" applyFont="1" applyFill="1" applyBorder="1" applyAlignment="1" applyProtection="1">
      <alignment horizontal="left" vertical="center"/>
      <protection locked="0"/>
    </xf>
    <xf numFmtId="0" fontId="82" fillId="31" borderId="13" xfId="0" applyFont="1" applyFill="1" applyBorder="1" applyAlignment="1" applyProtection="1">
      <alignment horizontal="left" vertical="center"/>
      <protection locked="0"/>
    </xf>
    <xf numFmtId="0" fontId="14" fillId="20" borderId="4" xfId="0" applyFont="1" applyFill="1" applyBorder="1" applyAlignment="1" applyProtection="1">
      <alignment horizontal="center" vertical="center" wrapText="1"/>
      <protection locked="0"/>
    </xf>
    <xf numFmtId="0" fontId="2" fillId="10" borderId="0" xfId="2" applyFont="1" applyFill="1" applyBorder="1" applyAlignment="1" applyProtection="1">
      <protection hidden="1"/>
    </xf>
    <xf numFmtId="0" fontId="2" fillId="10" borderId="64" xfId="2" applyFont="1" applyFill="1" applyBorder="1" applyAlignment="1" applyProtection="1">
      <protection hidden="1"/>
    </xf>
    <xf numFmtId="0" fontId="22" fillId="10" borderId="139" xfId="2" applyFont="1" applyFill="1" applyBorder="1" applyAlignment="1" applyProtection="1">
      <alignment horizontal="center" vertical="center"/>
      <protection hidden="1"/>
    </xf>
    <xf numFmtId="0" fontId="22" fillId="10" borderId="140" xfId="2" applyFont="1" applyFill="1" applyBorder="1" applyAlignment="1" applyProtection="1">
      <alignment horizontal="center" vertical="center"/>
      <protection hidden="1"/>
    </xf>
    <xf numFmtId="0" fontId="22" fillId="10" borderId="141" xfId="2" applyFont="1" applyFill="1" applyBorder="1" applyAlignment="1" applyProtection="1">
      <alignment horizontal="center" vertical="center"/>
      <protection hidden="1"/>
    </xf>
    <xf numFmtId="166" fontId="14" fillId="4" borderId="4" xfId="0" applyNumberFormat="1" applyFont="1" applyFill="1" applyBorder="1" applyAlignment="1" applyProtection="1">
      <alignment horizontal="center" vertical="center" wrapText="1"/>
      <protection hidden="1"/>
    </xf>
    <xf numFmtId="0" fontId="71" fillId="2" borderId="0" xfId="2" applyFont="1" applyFill="1" applyBorder="1" applyAlignment="1" applyProtection="1">
      <alignment horizontal="left" vertical="center" wrapText="1" indent="6"/>
      <protection hidden="1"/>
    </xf>
    <xf numFmtId="0" fontId="47" fillId="2" borderId="0" xfId="2" applyFont="1" applyFill="1" applyBorder="1" applyAlignment="1" applyProtection="1">
      <alignment horizontal="left" indent="3"/>
      <protection hidden="1"/>
    </xf>
    <xf numFmtId="0" fontId="173" fillId="2" borderId="0" xfId="2" applyFont="1" applyFill="1" applyBorder="1" applyAlignment="1" applyProtection="1">
      <protection hidden="1"/>
    </xf>
    <xf numFmtId="0" fontId="2" fillId="10" borderId="61" xfId="2" applyFont="1" applyFill="1" applyBorder="1" applyAlignment="1" applyProtection="1">
      <protection hidden="1"/>
    </xf>
    <xf numFmtId="0" fontId="2" fillId="10" borderId="62" xfId="2" applyFont="1" applyFill="1" applyBorder="1" applyAlignment="1" applyProtection="1">
      <protection hidden="1"/>
    </xf>
    <xf numFmtId="0" fontId="47" fillId="10" borderId="0" xfId="2" applyFont="1" applyFill="1" applyBorder="1" applyAlignment="1" applyProtection="1">
      <protection hidden="1"/>
    </xf>
    <xf numFmtId="0" fontId="47" fillId="10" borderId="64" xfId="2" applyFont="1" applyFill="1" applyBorder="1" applyAlignment="1" applyProtection="1">
      <protection hidden="1"/>
    </xf>
    <xf numFmtId="0" fontId="47" fillId="10" borderId="26" xfId="2" applyFont="1" applyFill="1" applyBorder="1" applyAlignment="1" applyProtection="1">
      <protection hidden="1"/>
    </xf>
    <xf numFmtId="0" fontId="47" fillId="10" borderId="27" xfId="2" applyFont="1" applyFill="1" applyBorder="1" applyAlignment="1" applyProtection="1">
      <protection hidden="1"/>
    </xf>
    <xf numFmtId="0" fontId="47" fillId="10" borderId="63" xfId="2" applyFont="1" applyFill="1" applyBorder="1" applyAlignment="1" applyProtection="1">
      <alignment horizontal="left" indent="7"/>
      <protection hidden="1"/>
    </xf>
    <xf numFmtId="0" fontId="47" fillId="10" borderId="25" xfId="2" applyFont="1" applyFill="1" applyBorder="1" applyAlignment="1" applyProtection="1">
      <alignment horizontal="left" indent="7"/>
      <protection hidden="1"/>
    </xf>
    <xf numFmtId="0" fontId="2" fillId="2" borderId="0" xfId="2" applyFill="1" applyBorder="1" applyAlignment="1" applyProtection="1">
      <alignment horizontal="left" vertical="center" indent="5"/>
      <protection hidden="1"/>
    </xf>
    <xf numFmtId="0" fontId="22" fillId="25" borderId="0" xfId="2" quotePrefix="1" applyFont="1" applyFill="1" applyAlignment="1" applyProtection="1">
      <alignment vertical="center"/>
      <protection hidden="1"/>
    </xf>
    <xf numFmtId="0" fontId="22" fillId="26" borderId="0" xfId="2" quotePrefix="1" applyFont="1" applyFill="1" applyAlignment="1" applyProtection="1">
      <alignment vertical="center"/>
      <protection hidden="1"/>
    </xf>
    <xf numFmtId="0" fontId="174" fillId="11" borderId="0" xfId="0" applyFont="1" applyFill="1" applyAlignment="1">
      <alignment vertical="center"/>
    </xf>
    <xf numFmtId="0" fontId="63" fillId="35" borderId="0" xfId="2" applyFont="1" applyFill="1" applyProtection="1">
      <protection hidden="1"/>
    </xf>
    <xf numFmtId="0" fontId="0" fillId="35" borderId="0" xfId="0" applyFont="1" applyFill="1" applyProtection="1">
      <protection hidden="1"/>
    </xf>
    <xf numFmtId="0" fontId="0" fillId="0" borderId="0" xfId="0" applyFont="1" applyProtection="1">
      <protection hidden="1"/>
    </xf>
    <xf numFmtId="0" fontId="82" fillId="11" borderId="0" xfId="0" applyFont="1" applyFill="1" applyProtection="1">
      <protection hidden="1"/>
    </xf>
    <xf numFmtId="0" fontId="92" fillId="29" borderId="0" xfId="0" applyFont="1" applyFill="1" applyBorder="1" applyAlignment="1" applyProtection="1">
      <alignment horizontal="center" vertical="center" wrapText="1"/>
      <protection hidden="1"/>
    </xf>
    <xf numFmtId="0" fontId="91" fillId="31" borderId="81" xfId="0" applyFont="1" applyFill="1" applyBorder="1" applyAlignment="1" applyProtection="1">
      <alignment horizontal="left" vertical="center"/>
      <protection locked="0"/>
    </xf>
    <xf numFmtId="0" fontId="91" fillId="31" borderId="13" xfId="0" applyFont="1" applyFill="1" applyBorder="1" applyAlignment="1" applyProtection="1">
      <alignment horizontal="left" vertical="center"/>
      <protection locked="0"/>
    </xf>
    <xf numFmtId="0" fontId="91" fillId="31" borderId="12" xfId="0" applyFont="1" applyFill="1" applyBorder="1" applyAlignment="1" applyProtection="1">
      <alignment horizontal="left" vertical="center"/>
      <protection locked="0"/>
    </xf>
    <xf numFmtId="0" fontId="91" fillId="31" borderId="0" xfId="0" applyFont="1" applyFill="1" applyBorder="1" applyAlignment="1" applyProtection="1">
      <alignment horizontal="left" vertical="center"/>
      <protection locked="0"/>
    </xf>
    <xf numFmtId="0" fontId="91" fillId="31" borderId="14" xfId="0" applyFont="1" applyFill="1" applyBorder="1" applyAlignment="1" applyProtection="1">
      <alignment horizontal="left" vertical="center"/>
      <protection locked="0"/>
    </xf>
    <xf numFmtId="0" fontId="28" fillId="31" borderId="12" xfId="3" applyFill="1" applyBorder="1" applyAlignment="1" applyProtection="1">
      <alignment horizontal="left" vertical="center"/>
      <protection locked="0"/>
    </xf>
    <xf numFmtId="0" fontId="82" fillId="31" borderId="85" xfId="0" applyFont="1" applyFill="1" applyBorder="1" applyAlignment="1" applyProtection="1">
      <alignment horizontal="left" vertical="center"/>
      <protection locked="0"/>
    </xf>
    <xf numFmtId="0" fontId="82" fillId="31" borderId="14" xfId="0" applyFont="1" applyFill="1" applyBorder="1" applyAlignment="1" applyProtection="1">
      <alignment horizontal="left" vertical="center"/>
      <protection locked="0"/>
    </xf>
    <xf numFmtId="0" fontId="82" fillId="31" borderId="84" xfId="0" applyFont="1" applyFill="1" applyBorder="1" applyAlignment="1" applyProtection="1">
      <alignment horizontal="left" vertical="center"/>
      <protection locked="0"/>
    </xf>
    <xf numFmtId="0" fontId="28" fillId="31" borderId="0" xfId="3" applyFill="1" applyBorder="1" applyAlignment="1" applyProtection="1">
      <alignment horizontal="left" vertical="center"/>
      <protection locked="0"/>
    </xf>
    <xf numFmtId="0" fontId="60" fillId="11" borderId="0" xfId="0" applyFont="1" applyFill="1" applyProtection="1">
      <protection hidden="1"/>
    </xf>
    <xf numFmtId="0" fontId="178" fillId="4" borderId="81" xfId="3" applyFont="1" applyFill="1" applyBorder="1" applyAlignment="1" applyProtection="1">
      <alignment horizontal="center" vertical="center"/>
      <protection hidden="1"/>
    </xf>
    <xf numFmtId="0" fontId="0" fillId="11" borderId="0" xfId="0" applyFont="1" applyFill="1" applyBorder="1" applyProtection="1">
      <protection hidden="1"/>
    </xf>
    <xf numFmtId="0" fontId="92" fillId="16" borderId="5" xfId="0" applyFont="1" applyFill="1" applyBorder="1" applyAlignment="1" applyProtection="1">
      <alignment vertical="center" wrapText="1"/>
      <protection hidden="1"/>
    </xf>
    <xf numFmtId="0" fontId="92" fillId="30" borderId="5" xfId="0" applyFont="1" applyFill="1" applyBorder="1" applyAlignment="1" applyProtection="1">
      <alignment vertical="center" wrapText="1"/>
      <protection hidden="1"/>
    </xf>
    <xf numFmtId="0" fontId="92" fillId="6" borderId="5" xfId="0" applyFont="1" applyFill="1" applyBorder="1" applyAlignment="1" applyProtection="1">
      <alignment vertical="center" wrapText="1"/>
      <protection hidden="1"/>
    </xf>
    <xf numFmtId="0" fontId="92" fillId="3" borderId="5" xfId="0" applyFont="1" applyFill="1" applyBorder="1" applyAlignment="1" applyProtection="1">
      <alignment vertical="center" wrapText="1"/>
      <protection hidden="1"/>
    </xf>
    <xf numFmtId="0" fontId="92" fillId="5" borderId="5" xfId="0" applyFont="1" applyFill="1" applyBorder="1" applyAlignment="1" applyProtection="1">
      <alignment vertical="center" wrapText="1"/>
      <protection hidden="1"/>
    </xf>
    <xf numFmtId="0" fontId="92" fillId="7" borderId="5" xfId="0" applyFont="1" applyFill="1" applyBorder="1" applyAlignment="1" applyProtection="1">
      <alignment vertical="center" wrapText="1"/>
      <protection hidden="1"/>
    </xf>
    <xf numFmtId="0" fontId="93" fillId="29" borderId="0" xfId="0" applyFont="1" applyFill="1" applyBorder="1" applyAlignment="1" applyProtection="1">
      <alignment vertical="center"/>
      <protection hidden="1"/>
    </xf>
    <xf numFmtId="0" fontId="92" fillId="8" borderId="5" xfId="0" applyFont="1" applyFill="1" applyBorder="1" applyAlignment="1" applyProtection="1">
      <alignment vertical="center" wrapText="1"/>
      <protection hidden="1"/>
    </xf>
    <xf numFmtId="0" fontId="14" fillId="20" borderId="4" xfId="0" applyFont="1" applyFill="1" applyBorder="1" applyAlignment="1" applyProtection="1">
      <alignment horizontal="center" vertical="center" wrapText="1"/>
      <protection locked="0"/>
    </xf>
    <xf numFmtId="0" fontId="2" fillId="2" borderId="0" xfId="2" applyFill="1" applyAlignment="1" applyProtection="1">
      <alignment horizontal="left" indent="6"/>
      <protection hidden="1"/>
    </xf>
    <xf numFmtId="0" fontId="2" fillId="2" borderId="0" xfId="2" applyFill="1" applyBorder="1" applyAlignment="1" applyProtection="1">
      <alignment horizontal="left" vertical="center" indent="6"/>
      <protection hidden="1"/>
    </xf>
    <xf numFmtId="0" fontId="14" fillId="20" borderId="31" xfId="0" applyFont="1" applyFill="1" applyBorder="1" applyAlignment="1" applyProtection="1">
      <alignment horizontal="center" vertical="center" wrapText="1"/>
      <protection locked="0"/>
    </xf>
    <xf numFmtId="0" fontId="180" fillId="2" borderId="0" xfId="0" applyFont="1" applyFill="1" applyAlignment="1">
      <alignment horizontal="left" vertical="center" indent="1"/>
    </xf>
    <xf numFmtId="0" fontId="179" fillId="2" borderId="0" xfId="0" applyFont="1" applyFill="1" applyProtection="1">
      <protection hidden="1"/>
    </xf>
    <xf numFmtId="2" fontId="2" fillId="32" borderId="31" xfId="2" applyNumberFormat="1" applyFont="1" applyFill="1" applyBorder="1" applyAlignment="1" applyProtection="1">
      <alignment horizontal="center" vertical="center"/>
      <protection hidden="1"/>
    </xf>
    <xf numFmtId="0" fontId="14" fillId="20" borderId="65"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4" fillId="20" borderId="32" xfId="0" applyFont="1" applyFill="1" applyBorder="1" applyAlignment="1" applyProtection="1">
      <alignment horizontal="center" vertical="center" wrapText="1"/>
      <protection locked="0"/>
    </xf>
    <xf numFmtId="0" fontId="175" fillId="11" borderId="0" xfId="0" applyFont="1" applyFill="1" applyAlignment="1" applyProtection="1">
      <alignment vertical="center"/>
      <protection hidden="1"/>
    </xf>
    <xf numFmtId="0" fontId="176" fillId="11" borderId="0" xfId="0" applyFont="1" applyFill="1" applyAlignment="1" applyProtection="1">
      <alignment vertical="center"/>
      <protection hidden="1"/>
    </xf>
    <xf numFmtId="0" fontId="14" fillId="20" borderId="65" xfId="0" applyNumberFormat="1" applyFont="1" applyFill="1" applyBorder="1" applyAlignment="1" applyProtection="1">
      <alignment horizontal="center" vertical="center" wrapText="1"/>
      <protection locked="0"/>
    </xf>
    <xf numFmtId="0" fontId="187" fillId="11" borderId="0" xfId="0" applyFont="1" applyFill="1" applyAlignment="1">
      <alignment vertical="center"/>
    </xf>
    <xf numFmtId="0" fontId="188" fillId="11" borderId="0" xfId="0" applyFont="1" applyFill="1" applyAlignment="1">
      <alignment vertical="center"/>
    </xf>
    <xf numFmtId="0" fontId="19" fillId="11" borderId="143" xfId="0" applyFont="1" applyFill="1" applyBorder="1"/>
    <xf numFmtId="0" fontId="19" fillId="11" borderId="144" xfId="0" applyFont="1" applyFill="1" applyBorder="1"/>
    <xf numFmtId="0" fontId="19" fillId="11" borderId="145" xfId="0" applyFont="1" applyFill="1" applyBorder="1"/>
    <xf numFmtId="0" fontId="19" fillId="11" borderId="146" xfId="0" applyFont="1" applyFill="1" applyBorder="1"/>
    <xf numFmtId="0" fontId="19" fillId="11" borderId="147" xfId="0" applyFont="1" applyFill="1" applyBorder="1"/>
    <xf numFmtId="0" fontId="19" fillId="11" borderId="148" xfId="0" applyFont="1" applyFill="1" applyBorder="1"/>
    <xf numFmtId="0" fontId="19" fillId="11" borderId="149" xfId="0" applyFont="1" applyFill="1" applyBorder="1"/>
    <xf numFmtId="0" fontId="19" fillId="11" borderId="150" xfId="0" applyFont="1" applyFill="1" applyBorder="1"/>
    <xf numFmtId="0" fontId="19" fillId="11" borderId="151" xfId="0" applyFont="1" applyFill="1" applyBorder="1"/>
    <xf numFmtId="0" fontId="0" fillId="11" borderId="152" xfId="0" applyFill="1" applyBorder="1"/>
    <xf numFmtId="0" fontId="0" fillId="11" borderId="153" xfId="0" applyFill="1" applyBorder="1"/>
    <xf numFmtId="0" fontId="19" fillId="11" borderId="154" xfId="0" applyFont="1" applyFill="1" applyBorder="1"/>
    <xf numFmtId="0" fontId="0" fillId="11" borderId="0" xfId="0" applyFill="1" applyBorder="1"/>
    <xf numFmtId="0" fontId="0" fillId="11" borderId="155" xfId="0" applyFill="1" applyBorder="1"/>
    <xf numFmtId="0" fontId="19" fillId="11" borderId="156" xfId="0" applyFont="1" applyFill="1" applyBorder="1"/>
    <xf numFmtId="0" fontId="0" fillId="11" borderId="157" xfId="0" applyFill="1" applyBorder="1"/>
    <xf numFmtId="0" fontId="0" fillId="11" borderId="158" xfId="0" applyFill="1" applyBorder="1"/>
    <xf numFmtId="0" fontId="0" fillId="11" borderId="68" xfId="0" applyFill="1" applyBorder="1"/>
    <xf numFmtId="0" fontId="0" fillId="11" borderId="70" xfId="0" applyFill="1" applyBorder="1"/>
    <xf numFmtId="0" fontId="0" fillId="11" borderId="72" xfId="0" applyFill="1" applyBorder="1"/>
    <xf numFmtId="0" fontId="0" fillId="11" borderId="6" xfId="0" applyFill="1" applyBorder="1"/>
    <xf numFmtId="0" fontId="0" fillId="11" borderId="74" xfId="0" applyFill="1" applyBorder="1"/>
    <xf numFmtId="0" fontId="8" fillId="11" borderId="0" xfId="0" applyFont="1" applyFill="1"/>
    <xf numFmtId="0" fontId="2" fillId="20" borderId="4" xfId="2" applyFont="1" applyFill="1" applyBorder="1" applyAlignment="1" applyProtection="1">
      <alignment horizontal="center" vertical="center"/>
      <protection locked="0"/>
    </xf>
    <xf numFmtId="0" fontId="14" fillId="20" borderId="4" xfId="0" applyFont="1" applyFill="1" applyBorder="1" applyAlignment="1" applyProtection="1">
      <alignment horizontal="center" vertical="center" wrapText="1"/>
      <protection locked="0"/>
    </xf>
    <xf numFmtId="169" fontId="2" fillId="10" borderId="31" xfId="2" applyNumberFormat="1" applyFont="1" applyFill="1" applyBorder="1" applyAlignment="1" applyProtection="1">
      <alignment horizontal="center" vertical="center"/>
      <protection hidden="1"/>
    </xf>
    <xf numFmtId="169" fontId="2" fillId="10" borderId="4" xfId="2" applyNumberFormat="1" applyFont="1" applyFill="1" applyBorder="1" applyAlignment="1" applyProtection="1">
      <alignment horizontal="center" vertical="center"/>
      <protection hidden="1"/>
    </xf>
    <xf numFmtId="166" fontId="14" fillId="20" borderId="4" xfId="0" applyNumberFormat="1" applyFont="1" applyFill="1" applyBorder="1" applyAlignment="1" applyProtection="1">
      <alignment horizontal="center" vertical="center" wrapText="1"/>
      <protection locked="0"/>
    </xf>
    <xf numFmtId="166" fontId="14" fillId="20" borderId="31" xfId="0"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3" fillId="17" borderId="7" xfId="4" applyFont="1" applyFill="1" applyBorder="1" applyAlignment="1" applyProtection="1">
      <alignment horizontal="center" vertical="center" wrapText="1"/>
      <protection hidden="1"/>
    </xf>
    <xf numFmtId="0" fontId="2" fillId="4" borderId="31" xfId="4" applyNumberFormat="1" applyFont="1" applyFill="1" applyBorder="1" applyAlignment="1" applyProtection="1">
      <alignment horizontal="center" vertical="center"/>
      <protection hidden="1"/>
    </xf>
    <xf numFmtId="0" fontId="2" fillId="4" borderId="4" xfId="4" applyNumberFormat="1" applyFont="1" applyFill="1" applyBorder="1" applyAlignment="1" applyProtection="1">
      <alignment horizontal="center" vertical="center"/>
      <protection hidden="1"/>
    </xf>
    <xf numFmtId="0" fontId="13" fillId="17" borderId="8" xfId="4" applyFont="1" applyFill="1" applyBorder="1" applyAlignment="1" applyProtection="1">
      <alignment horizontal="center" vertical="center" wrapText="1"/>
      <protection hidden="1"/>
    </xf>
    <xf numFmtId="0" fontId="14" fillId="20" borderId="31"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166" fontId="14" fillId="20" borderId="31" xfId="0"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3" fillId="6" borderId="100" xfId="0" applyFont="1" applyFill="1" applyBorder="1" applyAlignment="1" applyProtection="1">
      <alignment horizontal="center" vertical="center"/>
      <protection hidden="1"/>
    </xf>
    <xf numFmtId="0" fontId="2" fillId="25" borderId="22" xfId="2" applyFill="1" applyBorder="1" applyProtection="1">
      <protection hidden="1"/>
    </xf>
    <xf numFmtId="0" fontId="19" fillId="0" borderId="0" xfId="0" applyFont="1"/>
    <xf numFmtId="0" fontId="2" fillId="20" borderId="31" xfId="2" applyFont="1" applyFill="1" applyBorder="1" applyAlignment="1" applyProtection="1">
      <alignment horizontal="center" vertical="center"/>
      <protection locked="0"/>
    </xf>
    <xf numFmtId="0" fontId="2" fillId="20" borderId="4" xfId="2" applyFont="1" applyFill="1" applyBorder="1" applyAlignment="1" applyProtection="1">
      <alignment horizontal="center" vertical="center"/>
      <protection locked="0"/>
    </xf>
    <xf numFmtId="0" fontId="2" fillId="2" borderId="0" xfId="2" applyFill="1" applyAlignment="1" applyProtection="1">
      <alignment horizontal="left" indent="13"/>
      <protection hidden="1"/>
    </xf>
    <xf numFmtId="0" fontId="13" fillId="21" borderId="7" xfId="0" applyFont="1" applyFill="1" applyBorder="1" applyAlignment="1" applyProtection="1">
      <alignment horizontal="center" vertical="center" wrapText="1"/>
      <protection hidden="1"/>
    </xf>
    <xf numFmtId="0" fontId="49" fillId="21" borderId="7" xfId="0" applyFont="1" applyFill="1" applyBorder="1" applyAlignment="1">
      <alignment horizontal="center" vertical="center" wrapText="1"/>
    </xf>
    <xf numFmtId="0" fontId="49" fillId="21" borderId="8" xfId="0" applyFont="1" applyFill="1" applyBorder="1" applyAlignment="1">
      <alignment horizontal="center" vertical="center" wrapText="1"/>
    </xf>
    <xf numFmtId="0" fontId="14" fillId="15" borderId="4" xfId="0" applyFont="1" applyFill="1" applyBorder="1" applyAlignment="1">
      <alignment horizontal="center" vertical="center" wrapText="1"/>
    </xf>
    <xf numFmtId="0" fontId="14" fillId="15" borderId="31" xfId="0" applyFont="1" applyFill="1" applyBorder="1" applyAlignment="1">
      <alignment horizontal="center" vertical="center" wrapText="1"/>
    </xf>
    <xf numFmtId="0" fontId="2" fillId="10" borderId="69" xfId="2" applyFill="1" applyBorder="1" applyAlignment="1" applyProtection="1">
      <alignment horizontal="left" indent="6"/>
      <protection hidden="1"/>
    </xf>
    <xf numFmtId="0" fontId="2" fillId="10" borderId="68" xfId="2" applyFill="1" applyBorder="1" applyAlignment="1" applyProtection="1">
      <alignment horizontal="left" indent="1"/>
      <protection hidden="1"/>
    </xf>
    <xf numFmtId="0" fontId="2" fillId="10" borderId="70" xfId="2" applyFill="1" applyBorder="1" applyAlignment="1" applyProtection="1">
      <alignment horizontal="left" indent="1"/>
      <protection hidden="1"/>
    </xf>
    <xf numFmtId="0" fontId="19" fillId="0" borderId="0" xfId="0" applyFont="1"/>
    <xf numFmtId="0" fontId="49" fillId="21" borderId="7" xfId="0" applyFont="1" applyFill="1" applyBorder="1" applyAlignment="1">
      <alignment horizontal="center" vertical="center" wrapText="1"/>
    </xf>
    <xf numFmtId="0" fontId="49" fillId="21" borderId="8" xfId="0" applyFont="1" applyFill="1" applyBorder="1" applyAlignment="1">
      <alignment horizontal="center" vertical="center" wrapText="1"/>
    </xf>
    <xf numFmtId="0" fontId="2" fillId="10" borderId="31" xfId="2" applyFont="1" applyFill="1" applyBorder="1" applyAlignment="1" applyProtection="1">
      <alignment horizontal="center" vertical="center"/>
      <protection hidden="1"/>
    </xf>
    <xf numFmtId="0" fontId="49" fillId="2" borderId="0" xfId="2" applyFont="1" applyFill="1"/>
    <xf numFmtId="0" fontId="22" fillId="2" borderId="0" xfId="2" applyFont="1" applyFill="1" applyAlignment="1">
      <alignment vertical="center"/>
    </xf>
    <xf numFmtId="0" fontId="19" fillId="0" borderId="0" xfId="0" applyFont="1"/>
    <xf numFmtId="0" fontId="14" fillId="20" borderId="32" xfId="0" applyFont="1" applyFill="1" applyBorder="1" applyAlignment="1" applyProtection="1">
      <alignment horizontal="center" vertical="center" wrapText="1"/>
      <protection locked="0"/>
    </xf>
    <xf numFmtId="0" fontId="6" fillId="9" borderId="4" xfId="2" applyFont="1" applyFill="1" applyBorder="1" applyAlignment="1" applyProtection="1">
      <alignment horizontal="center" vertical="center" wrapText="1"/>
      <protection hidden="1"/>
    </xf>
    <xf numFmtId="0" fontId="10" fillId="7" borderId="0" xfId="0" applyFont="1" applyFill="1" applyBorder="1" applyAlignment="1" applyProtection="1">
      <alignment horizontal="left" vertical="center" indent="1"/>
      <protection hidden="1"/>
    </xf>
    <xf numFmtId="165" fontId="22" fillId="20" borderId="4" xfId="4" applyNumberFormat="1" applyFont="1" applyFill="1" applyBorder="1" applyAlignment="1" applyProtection="1">
      <alignment horizontal="center" vertical="center"/>
      <protection locked="0"/>
    </xf>
    <xf numFmtId="0" fontId="49" fillId="16" borderId="0" xfId="0" applyFont="1" applyFill="1" applyAlignment="1">
      <alignment horizontal="center" vertical="center" wrapText="1"/>
    </xf>
    <xf numFmtId="0" fontId="21" fillId="2" borderId="0" xfId="2" applyFont="1" applyFill="1" applyBorder="1" applyAlignment="1">
      <alignment vertical="center"/>
    </xf>
    <xf numFmtId="0" fontId="21" fillId="2" borderId="0" xfId="2" applyFont="1" applyFill="1" applyAlignment="1">
      <alignment vertical="center"/>
    </xf>
    <xf numFmtId="0" fontId="20" fillId="21" borderId="61" xfId="2" applyFont="1" applyFill="1" applyBorder="1" applyAlignment="1" applyProtection="1">
      <alignment horizontal="center" vertical="center" wrapText="1"/>
      <protection hidden="1"/>
    </xf>
    <xf numFmtId="0" fontId="20" fillId="21" borderId="62" xfId="2" applyFont="1" applyFill="1" applyBorder="1" applyAlignment="1" applyProtection="1">
      <alignment horizontal="center" vertical="center" wrapText="1"/>
      <protection hidden="1"/>
    </xf>
    <xf numFmtId="0" fontId="13" fillId="7" borderId="7" xfId="0" applyFont="1" applyFill="1" applyBorder="1" applyAlignment="1" applyProtection="1">
      <alignment horizontal="center" vertical="center"/>
      <protection hidden="1"/>
    </xf>
    <xf numFmtId="0" fontId="10" fillId="7" borderId="0" xfId="0" applyFont="1" applyFill="1" applyBorder="1" applyAlignment="1" applyProtection="1">
      <alignment vertical="center"/>
      <protection hidden="1"/>
    </xf>
    <xf numFmtId="0" fontId="22" fillId="11" borderId="1" xfId="2" applyFont="1" applyFill="1" applyBorder="1" applyAlignment="1" applyProtection="1">
      <alignment horizontal="center" vertical="center"/>
      <protection hidden="1"/>
    </xf>
    <xf numFmtId="0" fontId="6" fillId="9" borderId="4" xfId="2"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indent="5"/>
      <protection hidden="1"/>
    </xf>
    <xf numFmtId="0" fontId="8" fillId="11" borderId="109" xfId="3" applyFont="1" applyFill="1" applyBorder="1" applyAlignment="1">
      <alignment vertical="center"/>
    </xf>
    <xf numFmtId="0" fontId="8" fillId="11" borderId="0" xfId="3" applyFont="1" applyFill="1" applyBorder="1" applyAlignment="1">
      <alignment vertical="center"/>
    </xf>
    <xf numFmtId="0" fontId="190" fillId="11" borderId="0" xfId="0" applyFont="1" applyFill="1" applyAlignment="1">
      <alignment vertical="center"/>
    </xf>
    <xf numFmtId="0" fontId="19" fillId="11" borderId="72" xfId="0" applyFont="1" applyFill="1" applyBorder="1"/>
    <xf numFmtId="0" fontId="191" fillId="11" borderId="0" xfId="0" applyFont="1" applyFill="1" applyBorder="1" applyAlignment="1">
      <alignment horizontal="justify" vertical="center" wrapText="1"/>
    </xf>
    <xf numFmtId="0" fontId="185" fillId="11" borderId="0" xfId="0" applyFont="1" applyFill="1" applyAlignment="1">
      <alignment vertical="center"/>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3" fillId="21" borderId="8" xfId="0"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6" fillId="9" borderId="4" xfId="2"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22" fillId="11" borderId="1" xfId="2"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wrapText="1"/>
      <protection hidden="1"/>
    </xf>
    <xf numFmtId="0" fontId="13" fillId="6" borderId="7" xfId="0" applyFont="1" applyFill="1" applyBorder="1" applyAlignment="1" applyProtection="1">
      <alignment horizontal="center" vertical="center"/>
      <protection hidden="1"/>
    </xf>
    <xf numFmtId="166" fontId="14" fillId="20" borderId="4" xfId="0" applyNumberFormat="1" applyFont="1" applyFill="1" applyBorder="1" applyAlignment="1" applyProtection="1">
      <alignment horizontal="center" vertical="center" wrapText="1"/>
      <protection locked="0"/>
    </xf>
    <xf numFmtId="0" fontId="13" fillId="6" borderId="10" xfId="0" applyFont="1" applyFill="1" applyBorder="1" applyAlignment="1" applyProtection="1">
      <alignment horizontal="center" vertical="center"/>
      <protection hidden="1"/>
    </xf>
    <xf numFmtId="0" fontId="6" fillId="9" borderId="4" xfId="2" applyFont="1" applyFill="1" applyBorder="1" applyAlignment="1" applyProtection="1">
      <alignment horizontal="center" vertical="center" wrapText="1"/>
      <protection hidden="1"/>
    </xf>
    <xf numFmtId="0" fontId="21" fillId="25" borderId="0" xfId="0" applyFont="1" applyFill="1" applyBorder="1" applyAlignment="1" applyProtection="1">
      <alignment vertical="center" wrapText="1"/>
      <protection hidden="1"/>
    </xf>
    <xf numFmtId="2" fontId="14" fillId="20" borderId="10" xfId="0" applyNumberFormat="1" applyFont="1" applyFill="1" applyBorder="1" applyAlignment="1" applyProtection="1">
      <alignment horizontal="center" vertical="center" wrapText="1"/>
      <protection locked="0"/>
    </xf>
    <xf numFmtId="0" fontId="2" fillId="10" borderId="63" xfId="2" quotePrefix="1" applyFont="1" applyFill="1" applyBorder="1" applyAlignment="1" applyProtection="1">
      <alignment horizontal="left" indent="7"/>
      <protection hidden="1"/>
    </xf>
    <xf numFmtId="165" fontId="8" fillId="4" borderId="4" xfId="1" applyNumberFormat="1" applyFont="1" applyFill="1" applyBorder="1" applyAlignment="1" applyProtection="1">
      <alignment horizontal="center" vertical="center" wrapText="1"/>
      <protection hidden="1"/>
    </xf>
    <xf numFmtId="164" fontId="8" fillId="4" borderId="4" xfId="1" applyNumberFormat="1" applyFont="1" applyFill="1" applyBorder="1" applyAlignment="1" applyProtection="1">
      <alignment horizontal="center" vertical="center" wrapText="1"/>
      <protection hidden="1"/>
    </xf>
    <xf numFmtId="2" fontId="8" fillId="4" borderId="4" xfId="1" applyNumberFormat="1" applyFont="1" applyFill="1" applyBorder="1" applyAlignment="1" applyProtection="1">
      <alignment horizontal="center" vertical="center" wrapText="1"/>
      <protection hidden="1"/>
    </xf>
    <xf numFmtId="0" fontId="8" fillId="4" borderId="4" xfId="1" applyNumberFormat="1" applyFont="1" applyFill="1" applyBorder="1" applyAlignment="1" applyProtection="1">
      <alignment horizontal="center" vertical="center" wrapText="1"/>
      <protection hidden="1"/>
    </xf>
    <xf numFmtId="0" fontId="13" fillId="21" borderId="10" xfId="0" applyFont="1" applyFill="1" applyBorder="1" applyAlignment="1" applyProtection="1">
      <alignment horizontal="center" vertical="center" wrapText="1"/>
      <protection hidden="1"/>
    </xf>
    <xf numFmtId="0" fontId="154" fillId="11" borderId="0" xfId="0" applyFont="1" applyFill="1" applyAlignment="1" applyProtection="1">
      <alignment horizontal="center" vertical="center"/>
      <protection hidden="1"/>
    </xf>
    <xf numFmtId="0" fontId="65" fillId="11" borderId="0" xfId="0" applyFont="1" applyFill="1" applyAlignment="1" applyProtection="1">
      <alignment horizontal="left" indent="1"/>
      <protection hidden="1"/>
    </xf>
    <xf numFmtId="0" fontId="191" fillId="11" borderId="0" xfId="0" applyFont="1" applyFill="1" applyBorder="1" applyAlignment="1">
      <alignment horizontal="justify" vertical="center" wrapText="1"/>
    </xf>
    <xf numFmtId="0" fontId="8" fillId="0" borderId="0" xfId="3" applyFont="1" applyAlignment="1">
      <alignment vertical="center" wrapText="1"/>
    </xf>
    <xf numFmtId="0" fontId="9" fillId="3" borderId="0" xfId="0" applyFont="1" applyFill="1" applyBorder="1" applyAlignment="1" applyProtection="1">
      <alignment horizontal="left" vertical="center" indent="1"/>
      <protection hidden="1"/>
    </xf>
    <xf numFmtId="0" fontId="5" fillId="3" borderId="0" xfId="0" applyFont="1" applyFill="1" applyAlignment="1" applyProtection="1">
      <alignment horizontal="left" vertical="center" indent="1"/>
      <protection hidden="1"/>
    </xf>
    <xf numFmtId="0" fontId="14" fillId="11" borderId="0" xfId="0" applyFont="1" applyFill="1" applyAlignment="1">
      <alignment horizontal="left" vertical="center" wrapText="1"/>
    </xf>
    <xf numFmtId="0" fontId="179" fillId="2" borderId="0" xfId="0" applyFont="1" applyFill="1" applyAlignment="1" applyProtection="1">
      <alignment horizontal="left" vertical="top" wrapText="1"/>
      <protection hidden="1"/>
    </xf>
    <xf numFmtId="0" fontId="82" fillId="2" borderId="0" xfId="0" applyFont="1" applyFill="1" applyAlignment="1" applyProtection="1">
      <alignment horizontal="left" vertical="center" wrapText="1" indent="3"/>
      <protection hidden="1"/>
    </xf>
    <xf numFmtId="0" fontId="0" fillId="2" borderId="0" xfId="0" applyFont="1" applyFill="1" applyAlignment="1" applyProtection="1">
      <alignment horizontal="left" vertical="top" wrapText="1" indent="3"/>
      <protection hidden="1"/>
    </xf>
    <xf numFmtId="0" fontId="0" fillId="2" borderId="0" xfId="0" applyFont="1" applyFill="1" applyAlignment="1" applyProtection="1">
      <alignment horizontal="left" vertical="top" indent="3"/>
      <protection hidden="1"/>
    </xf>
    <xf numFmtId="0" fontId="0" fillId="2" borderId="0" xfId="0" applyFont="1" applyFill="1" applyBorder="1" applyAlignment="1">
      <alignment horizontal="left" vertical="center" wrapText="1" indent="1"/>
    </xf>
    <xf numFmtId="0" fontId="0" fillId="2" borderId="0" xfId="0" applyFill="1" applyBorder="1" applyAlignment="1">
      <alignment horizontal="left" vertical="center" wrapText="1"/>
    </xf>
    <xf numFmtId="0" fontId="0" fillId="2" borderId="0" xfId="0" applyFont="1" applyFill="1" applyBorder="1" applyAlignment="1">
      <alignment horizontal="left" vertical="center" wrapText="1"/>
    </xf>
    <xf numFmtId="0" fontId="82" fillId="2" borderId="0" xfId="0" applyFont="1" applyFill="1" applyBorder="1" applyAlignment="1">
      <alignment horizontal="left" vertical="center" wrapText="1" indent="2"/>
    </xf>
    <xf numFmtId="0" fontId="0" fillId="2" borderId="0" xfId="0" applyFill="1" applyAlignment="1" applyProtection="1">
      <alignment horizontal="left" vertical="top" wrapText="1" indent="4"/>
      <protection hidden="1"/>
    </xf>
    <xf numFmtId="0" fontId="0" fillId="2" borderId="0" xfId="0" applyFill="1" applyBorder="1" applyAlignment="1">
      <alignment horizontal="left" vertical="center" wrapText="1" indent="2"/>
    </xf>
    <xf numFmtId="0" fontId="179" fillId="2" borderId="0" xfId="0" applyFont="1" applyFill="1" applyAlignment="1" applyProtection="1">
      <alignment horizontal="left" vertical="center" wrapText="1"/>
      <protection hidden="1"/>
    </xf>
    <xf numFmtId="0" fontId="0" fillId="2" borderId="0" xfId="0" applyFill="1" applyAlignment="1" applyProtection="1">
      <alignment horizontal="left" vertical="top" wrapText="1" indent="1"/>
      <protection hidden="1"/>
    </xf>
    <xf numFmtId="0" fontId="0" fillId="2" borderId="0" xfId="0" applyFont="1" applyFill="1" applyBorder="1" applyAlignment="1">
      <alignment vertical="center" wrapText="1"/>
    </xf>
    <xf numFmtId="0" fontId="0" fillId="2" borderId="0" xfId="0" applyFont="1" applyFill="1" applyAlignment="1" applyProtection="1">
      <alignment horizontal="left" vertical="top" wrapText="1" indent="1"/>
      <protection hidden="1"/>
    </xf>
    <xf numFmtId="0" fontId="0" fillId="2" borderId="0" xfId="0" applyFont="1" applyFill="1" applyAlignment="1" applyProtection="1">
      <alignment horizontal="left" indent="1"/>
      <protection hidden="1"/>
    </xf>
    <xf numFmtId="0" fontId="179" fillId="2" borderId="0" xfId="0" applyFont="1" applyFill="1" applyAlignment="1" applyProtection="1">
      <alignment vertical="top" wrapText="1"/>
      <protection hidden="1"/>
    </xf>
    <xf numFmtId="0" fontId="0" fillId="2" borderId="0" xfId="0" applyFill="1" applyAlignment="1">
      <alignment horizontal="left" vertical="center" wrapText="1" indent="3"/>
    </xf>
    <xf numFmtId="0" fontId="28" fillId="3" borderId="0" xfId="3" applyFont="1" applyFill="1" applyAlignment="1" applyProtection="1">
      <alignment horizontal="left"/>
      <protection hidden="1"/>
    </xf>
    <xf numFmtId="0" fontId="125" fillId="3" borderId="0" xfId="0" applyFont="1" applyFill="1" applyBorder="1" applyAlignment="1" applyProtection="1">
      <alignment horizontal="center" vertical="center"/>
      <protection hidden="1"/>
    </xf>
    <xf numFmtId="0" fontId="79" fillId="3" borderId="0" xfId="0" applyFont="1" applyFill="1" applyAlignment="1" applyProtection="1">
      <alignment horizontal="left"/>
      <protection hidden="1"/>
    </xf>
    <xf numFmtId="0" fontId="124" fillId="3" borderId="0" xfId="0" applyFont="1" applyFill="1" applyBorder="1" applyAlignment="1" applyProtection="1">
      <alignment horizontal="left" vertical="center" indent="1"/>
      <protection hidden="1"/>
    </xf>
    <xf numFmtId="0" fontId="78" fillId="3" borderId="0" xfId="0" applyFont="1" applyFill="1" applyBorder="1" applyAlignment="1" applyProtection="1">
      <alignment horizontal="left" vertical="center" indent="1"/>
      <protection hidden="1"/>
    </xf>
    <xf numFmtId="0" fontId="141" fillId="2" borderId="0" xfId="0" applyFont="1" applyFill="1" applyAlignment="1" applyProtection="1">
      <alignment horizontal="left" vertical="top" wrapText="1"/>
      <protection hidden="1"/>
    </xf>
    <xf numFmtId="0" fontId="28" fillId="2" borderId="0" xfId="3" applyFill="1" applyAlignment="1" applyProtection="1">
      <alignment horizontal="left" vertical="top" indent="1"/>
      <protection hidden="1"/>
    </xf>
    <xf numFmtId="0" fontId="2" fillId="10" borderId="38" xfId="0" applyFont="1" applyFill="1" applyBorder="1" applyAlignment="1">
      <alignment horizontal="center" vertical="center"/>
    </xf>
    <xf numFmtId="0" fontId="2" fillId="10" borderId="0" xfId="0" applyFont="1" applyFill="1" applyBorder="1" applyAlignment="1">
      <alignment horizontal="center" vertical="center"/>
    </xf>
    <xf numFmtId="0" fontId="2" fillId="10" borderId="32" xfId="0" applyFont="1" applyFill="1" applyBorder="1" applyAlignment="1">
      <alignment horizontal="center" vertical="center"/>
    </xf>
    <xf numFmtId="0" fontId="2" fillId="10" borderId="34" xfId="0" applyFont="1" applyFill="1" applyBorder="1" applyAlignment="1">
      <alignment horizontal="center" vertical="center"/>
    </xf>
    <xf numFmtId="0" fontId="2" fillId="10" borderId="33" xfId="0" applyFont="1" applyFill="1" applyBorder="1" applyAlignment="1">
      <alignment horizontal="center" vertical="center"/>
    </xf>
    <xf numFmtId="0" fontId="82" fillId="10" borderId="63" xfId="0" applyFont="1" applyFill="1" applyBorder="1" applyAlignment="1" applyProtection="1">
      <alignment horizontal="left" indent="2"/>
      <protection hidden="1"/>
    </xf>
    <xf numFmtId="0" fontId="82" fillId="10" borderId="0" xfId="0" applyFont="1" applyFill="1" applyBorder="1" applyAlignment="1" applyProtection="1">
      <alignment horizontal="left" indent="2"/>
      <protection hidden="1"/>
    </xf>
    <xf numFmtId="0" fontId="82" fillId="10" borderId="64" xfId="0" applyFont="1" applyFill="1" applyBorder="1" applyAlignment="1" applyProtection="1">
      <alignment horizontal="left" indent="2"/>
      <protection hidden="1"/>
    </xf>
    <xf numFmtId="0" fontId="82" fillId="10" borderId="25" xfId="0" applyFont="1" applyFill="1" applyBorder="1" applyAlignment="1" applyProtection="1">
      <alignment horizontal="left" vertical="center" indent="2"/>
      <protection hidden="1"/>
    </xf>
    <xf numFmtId="0" fontId="82" fillId="10" borderId="26" xfId="0" applyFont="1" applyFill="1" applyBorder="1" applyAlignment="1" applyProtection="1">
      <alignment horizontal="left" vertical="center" indent="2"/>
      <protection hidden="1"/>
    </xf>
    <xf numFmtId="0" fontId="82" fillId="10" borderId="27" xfId="0" applyFont="1" applyFill="1" applyBorder="1" applyAlignment="1" applyProtection="1">
      <alignment horizontal="left" vertical="center" indent="2"/>
      <protection hidden="1"/>
    </xf>
    <xf numFmtId="0" fontId="133" fillId="3" borderId="10" xfId="0" applyFont="1" applyFill="1" applyBorder="1" applyAlignment="1">
      <alignment horizontal="center" vertical="center"/>
    </xf>
    <xf numFmtId="0" fontId="133" fillId="3" borderId="7" xfId="0" applyFont="1" applyFill="1" applyBorder="1" applyAlignment="1">
      <alignment horizontal="center" vertical="center"/>
    </xf>
    <xf numFmtId="0" fontId="133" fillId="3" borderId="8" xfId="0" applyFont="1" applyFill="1" applyBorder="1" applyAlignment="1">
      <alignment horizontal="center" vertical="center"/>
    </xf>
    <xf numFmtId="0" fontId="82" fillId="10" borderId="60" xfId="0" applyFont="1" applyFill="1" applyBorder="1" applyAlignment="1" applyProtection="1">
      <alignment horizontal="left" indent="1"/>
      <protection hidden="1"/>
    </xf>
    <xf numFmtId="0" fontId="82" fillId="10" borderId="61" xfId="0" applyFont="1" applyFill="1" applyBorder="1" applyAlignment="1" applyProtection="1">
      <alignment horizontal="left" indent="1"/>
      <protection hidden="1"/>
    </xf>
    <xf numFmtId="0" fontId="82" fillId="10" borderId="62" xfId="0" applyFont="1" applyFill="1" applyBorder="1" applyAlignment="1" applyProtection="1">
      <alignment horizontal="left" indent="1"/>
      <protection hidden="1"/>
    </xf>
    <xf numFmtId="0" fontId="46" fillId="2" borderId="0" xfId="0" applyFont="1" applyFill="1" applyAlignment="1" applyProtection="1">
      <alignment horizontal="left" vertical="top" wrapText="1"/>
      <protection hidden="1"/>
    </xf>
    <xf numFmtId="0" fontId="118" fillId="10" borderId="0" xfId="0" applyFont="1" applyFill="1" applyAlignment="1" applyProtection="1">
      <alignment horizontal="left" vertical="center" indent="2"/>
      <protection hidden="1"/>
    </xf>
    <xf numFmtId="0" fontId="179" fillId="2" borderId="0" xfId="0" applyFont="1" applyFill="1" applyAlignment="1" applyProtection="1">
      <alignment horizontal="left"/>
      <protection hidden="1"/>
    </xf>
    <xf numFmtId="0" fontId="11" fillId="3" borderId="7" xfId="0" applyFont="1" applyFill="1" applyBorder="1" applyAlignment="1">
      <alignment horizontal="center" vertical="center"/>
    </xf>
    <xf numFmtId="0" fontId="2" fillId="10" borderId="38" xfId="0" applyFont="1" applyFill="1" applyBorder="1" applyAlignment="1">
      <alignment horizontal="center" vertical="center" wrapText="1"/>
    </xf>
    <xf numFmtId="0" fontId="2" fillId="10" borderId="0"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11" fillId="3" borderId="10" xfId="0" applyFont="1" applyFill="1" applyBorder="1" applyAlignment="1">
      <alignment horizontal="center" vertical="center"/>
    </xf>
    <xf numFmtId="0" fontId="11" fillId="3" borderId="8" xfId="0" applyFont="1" applyFill="1" applyBorder="1" applyAlignment="1">
      <alignment horizontal="center" vertical="center"/>
    </xf>
    <xf numFmtId="0" fontId="4" fillId="3" borderId="6" xfId="0" applyFont="1" applyFill="1" applyBorder="1" applyAlignment="1">
      <alignment horizontal="left" vertical="center" indent="1"/>
    </xf>
    <xf numFmtId="0" fontId="4" fillId="3" borderId="9" xfId="0" applyFont="1" applyFill="1" applyBorder="1" applyAlignment="1">
      <alignment horizontal="left" vertical="center" indent="1"/>
    </xf>
    <xf numFmtId="3" fontId="2" fillId="20" borderId="10" xfId="0" applyNumberFormat="1" applyFont="1" applyFill="1" applyBorder="1" applyAlignment="1" applyProtection="1">
      <alignment horizontal="center" vertical="center"/>
      <protection locked="0"/>
    </xf>
    <xf numFmtId="3" fontId="2" fillId="20" borderId="7" xfId="0" applyNumberFormat="1" applyFont="1" applyFill="1" applyBorder="1" applyAlignment="1" applyProtection="1">
      <alignment horizontal="center" vertical="center"/>
      <protection locked="0"/>
    </xf>
    <xf numFmtId="3" fontId="2" fillId="20" borderId="8" xfId="0" applyNumberFormat="1" applyFont="1" applyFill="1" applyBorder="1" applyAlignment="1" applyProtection="1">
      <alignment horizontal="center" vertical="center"/>
      <protection locked="0"/>
    </xf>
    <xf numFmtId="0" fontId="75" fillId="10" borderId="0" xfId="0" applyFont="1" applyFill="1" applyAlignment="1">
      <alignment horizontal="left" vertical="center" wrapText="1" indent="8"/>
    </xf>
    <xf numFmtId="0" fontId="75" fillId="10" borderId="0" xfId="0" applyFont="1" applyFill="1" applyAlignment="1">
      <alignment horizontal="left" vertical="center" indent="8"/>
    </xf>
    <xf numFmtId="3" fontId="2" fillId="20" borderId="4" xfId="0" applyNumberFormat="1" applyFont="1" applyFill="1" applyBorder="1" applyAlignment="1" applyProtection="1">
      <alignment horizontal="left" vertical="center"/>
      <protection locked="0"/>
    </xf>
    <xf numFmtId="3" fontId="2" fillId="20" borderId="10" xfId="0" applyNumberFormat="1" applyFont="1" applyFill="1" applyBorder="1" applyAlignment="1" applyProtection="1">
      <alignment horizontal="left" vertical="center"/>
      <protection locked="0"/>
    </xf>
    <xf numFmtId="3" fontId="2" fillId="20" borderId="7" xfId="0" applyNumberFormat="1" applyFont="1" applyFill="1" applyBorder="1" applyAlignment="1" applyProtection="1">
      <alignment horizontal="left" vertical="center"/>
      <protection locked="0"/>
    </xf>
    <xf numFmtId="3" fontId="2" fillId="20" borderId="8" xfId="0" applyNumberFormat="1" applyFont="1" applyFill="1" applyBorder="1" applyAlignment="1" applyProtection="1">
      <alignment horizontal="left" vertical="center"/>
      <protection locked="0"/>
    </xf>
    <xf numFmtId="0" fontId="2" fillId="4" borderId="37" xfId="0" applyFont="1" applyFill="1" applyBorder="1" applyAlignment="1">
      <alignment horizontal="left" vertical="center" wrapText="1"/>
    </xf>
    <xf numFmtId="0" fontId="2" fillId="4" borderId="75" xfId="0" applyFont="1" applyFill="1" applyBorder="1" applyAlignment="1">
      <alignment horizontal="left" vertical="center"/>
    </xf>
    <xf numFmtId="0" fontId="2" fillId="4" borderId="31" xfId="0" applyFont="1" applyFill="1" applyBorder="1" applyAlignment="1">
      <alignment horizontal="left" vertical="center"/>
    </xf>
    <xf numFmtId="3" fontId="2" fillId="4" borderId="10" xfId="0" applyNumberFormat="1" applyFont="1" applyFill="1" applyBorder="1" applyAlignment="1" applyProtection="1">
      <alignment horizontal="center" vertical="center"/>
      <protection locked="0"/>
    </xf>
    <xf numFmtId="3" fontId="2" fillId="4" borderId="8" xfId="0" applyNumberFormat="1" applyFont="1" applyFill="1" applyBorder="1" applyAlignment="1" applyProtection="1">
      <alignment horizontal="center" vertical="center"/>
      <protection locked="0"/>
    </xf>
    <xf numFmtId="0" fontId="19" fillId="0" borderId="0" xfId="0" applyFont="1" applyAlignment="1" applyProtection="1">
      <alignment horizontal="center" vertical="center"/>
      <protection hidden="1"/>
    </xf>
    <xf numFmtId="0" fontId="165" fillId="0" borderId="0" xfId="0" applyFont="1" applyAlignment="1" applyProtection="1">
      <alignment horizontal="left" vertical="center" indent="1"/>
      <protection hidden="1"/>
    </xf>
    <xf numFmtId="0" fontId="144" fillId="3" borderId="0" xfId="0" applyFont="1" applyFill="1" applyAlignment="1" applyProtection="1">
      <alignment horizontal="left" vertical="center" indent="1"/>
      <protection hidden="1"/>
    </xf>
    <xf numFmtId="0" fontId="19" fillId="20" borderId="32" xfId="0" applyFont="1" applyFill="1" applyBorder="1" applyAlignment="1" applyProtection="1">
      <alignment horizontal="left" vertical="center"/>
      <protection locked="0" hidden="1"/>
    </xf>
    <xf numFmtId="0" fontId="19" fillId="20" borderId="33" xfId="0" applyFont="1" applyFill="1" applyBorder="1" applyAlignment="1" applyProtection="1">
      <alignment horizontal="left" vertical="center"/>
      <protection locked="0" hidden="1"/>
    </xf>
    <xf numFmtId="0" fontId="19" fillId="20" borderId="118" xfId="0" applyFont="1" applyFill="1" applyBorder="1" applyAlignment="1" applyProtection="1">
      <alignment horizontal="left" vertical="center"/>
      <protection locked="0" hidden="1"/>
    </xf>
    <xf numFmtId="0" fontId="19" fillId="20" borderId="35" xfId="0" applyFont="1" applyFill="1" applyBorder="1" applyAlignment="1" applyProtection="1">
      <alignment horizontal="left" vertical="center"/>
      <protection locked="0" hidden="1"/>
    </xf>
    <xf numFmtId="0" fontId="19" fillId="20" borderId="3" xfId="0" applyFont="1" applyFill="1" applyBorder="1" applyAlignment="1" applyProtection="1">
      <alignment horizontal="left" vertical="center"/>
      <protection locked="0" hidden="1"/>
    </xf>
    <xf numFmtId="0" fontId="19" fillId="20" borderId="119" xfId="0" applyFont="1" applyFill="1" applyBorder="1" applyAlignment="1" applyProtection="1">
      <alignment horizontal="left" vertical="center"/>
      <protection locked="0" hidden="1"/>
    </xf>
    <xf numFmtId="0" fontId="19" fillId="10" borderId="0" xfId="0" applyFont="1" applyFill="1" applyAlignment="1" applyProtection="1">
      <alignment horizontal="justify" vertical="center" wrapText="1"/>
      <protection hidden="1"/>
    </xf>
    <xf numFmtId="0" fontId="146" fillId="33" borderId="109" xfId="0" applyFont="1" applyFill="1" applyBorder="1" applyAlignment="1" applyProtection="1">
      <alignment horizontal="left" vertical="center" wrapText="1"/>
      <protection hidden="1"/>
    </xf>
    <xf numFmtId="0" fontId="146" fillId="33" borderId="0" xfId="0" applyFont="1" applyFill="1" applyBorder="1" applyAlignment="1" applyProtection="1">
      <alignment horizontal="left" vertical="center" wrapText="1"/>
      <protection hidden="1"/>
    </xf>
    <xf numFmtId="0" fontId="19" fillId="15" borderId="17" xfId="0" applyFont="1" applyFill="1" applyBorder="1" applyAlignment="1" applyProtection="1">
      <alignment horizontal="left" vertical="center" wrapText="1"/>
      <protection hidden="1"/>
    </xf>
    <xf numFmtId="0" fontId="19" fillId="15" borderId="93" xfId="0" applyFont="1" applyFill="1" applyBorder="1" applyAlignment="1" applyProtection="1">
      <alignment horizontal="left" vertical="center" wrapText="1"/>
      <protection hidden="1"/>
    </xf>
    <xf numFmtId="0" fontId="19" fillId="19" borderId="17" xfId="0" applyFont="1" applyFill="1" applyBorder="1" applyAlignment="1" applyProtection="1">
      <alignment horizontal="justify" vertical="center" wrapText="1"/>
      <protection hidden="1"/>
    </xf>
    <xf numFmtId="0" fontId="19" fillId="19" borderId="94" xfId="0" applyFont="1" applyFill="1" applyBorder="1" applyAlignment="1" applyProtection="1">
      <alignment horizontal="justify" vertical="center" wrapText="1"/>
      <protection hidden="1"/>
    </xf>
    <xf numFmtId="0" fontId="19" fillId="19" borderId="93" xfId="0" applyFont="1" applyFill="1" applyBorder="1" applyAlignment="1" applyProtection="1">
      <alignment horizontal="justify" vertical="center" wrapText="1"/>
      <protection hidden="1"/>
    </xf>
    <xf numFmtId="0" fontId="41" fillId="3" borderId="60" xfId="0" applyFont="1" applyFill="1" applyBorder="1" applyAlignment="1" applyProtection="1">
      <alignment horizontal="center" vertical="top" wrapText="1"/>
      <protection hidden="1"/>
    </xf>
    <xf numFmtId="0" fontId="41" fillId="3" borderId="61" xfId="0" applyFont="1" applyFill="1" applyBorder="1" applyAlignment="1" applyProtection="1">
      <alignment horizontal="center" vertical="top" wrapText="1"/>
      <protection hidden="1"/>
    </xf>
    <xf numFmtId="0" fontId="41" fillId="3" borderId="62" xfId="0" applyFont="1" applyFill="1" applyBorder="1" applyAlignment="1" applyProtection="1">
      <alignment horizontal="center" vertical="top" wrapText="1"/>
      <protection hidden="1"/>
    </xf>
    <xf numFmtId="0" fontId="41" fillId="3" borderId="63" xfId="0" applyFont="1" applyFill="1" applyBorder="1" applyAlignment="1" applyProtection="1">
      <alignment horizontal="center" vertical="center" wrapText="1"/>
      <protection hidden="1"/>
    </xf>
    <xf numFmtId="0" fontId="41" fillId="3" borderId="0" xfId="0" applyFont="1" applyFill="1" applyBorder="1" applyAlignment="1" applyProtection="1">
      <alignment horizontal="center" vertical="center" wrapText="1"/>
      <protection hidden="1"/>
    </xf>
    <xf numFmtId="0" fontId="41" fillId="3" borderId="64" xfId="0" applyFont="1" applyFill="1" applyBorder="1" applyAlignment="1" applyProtection="1">
      <alignment horizontal="center" vertical="center" wrapText="1"/>
      <protection hidden="1"/>
    </xf>
    <xf numFmtId="0" fontId="41" fillId="3" borderId="25" xfId="0" applyFont="1" applyFill="1" applyBorder="1" applyAlignment="1" applyProtection="1">
      <alignment horizontal="center" vertical="center" wrapText="1"/>
      <protection hidden="1"/>
    </xf>
    <xf numFmtId="0" fontId="41" fillId="3" borderId="26" xfId="0" applyFont="1" applyFill="1" applyBorder="1" applyAlignment="1" applyProtection="1">
      <alignment horizontal="center" vertical="center" wrapText="1"/>
      <protection hidden="1"/>
    </xf>
    <xf numFmtId="0" fontId="41" fillId="3" borderId="27" xfId="0" applyFont="1" applyFill="1" applyBorder="1" applyAlignment="1" applyProtection="1">
      <alignment horizontal="center" vertical="center" wrapText="1"/>
      <protection hidden="1"/>
    </xf>
    <xf numFmtId="0" fontId="19" fillId="10" borderId="0" xfId="0" applyFont="1" applyFill="1" applyAlignment="1" applyProtection="1">
      <alignment horizontal="justify" vertical="center"/>
      <protection hidden="1"/>
    </xf>
    <xf numFmtId="0" fontId="19" fillId="15" borderId="4" xfId="0" applyFont="1" applyFill="1" applyBorder="1" applyAlignment="1" applyProtection="1">
      <alignment horizontal="left" vertical="center" wrapText="1"/>
      <protection hidden="1"/>
    </xf>
    <xf numFmtId="0" fontId="19" fillId="20" borderId="4" xfId="0" applyFont="1" applyFill="1" applyBorder="1" applyAlignment="1" applyProtection="1">
      <alignment horizontal="left" vertical="center" wrapText="1"/>
      <protection locked="0" hidden="1"/>
    </xf>
    <xf numFmtId="0" fontId="19" fillId="20" borderId="4" xfId="0" applyFont="1" applyFill="1" applyBorder="1" applyAlignment="1" applyProtection="1">
      <alignment horizontal="justify" vertical="center" wrapText="1"/>
      <protection locked="0" hidden="1"/>
    </xf>
    <xf numFmtId="0" fontId="19" fillId="20" borderId="4" xfId="0" applyFont="1" applyFill="1" applyBorder="1" applyAlignment="1" applyProtection="1">
      <alignment horizontal="center" vertical="center" wrapText="1"/>
      <protection locked="0" hidden="1"/>
    </xf>
    <xf numFmtId="0" fontId="19" fillId="15" borderId="106" xfId="0" applyFont="1" applyFill="1" applyBorder="1" applyAlignment="1" applyProtection="1">
      <alignment horizontal="left" vertical="center" wrapText="1"/>
      <protection hidden="1"/>
    </xf>
    <xf numFmtId="0" fontId="19" fillId="15" borderId="108" xfId="0" applyFont="1" applyFill="1" applyBorder="1" applyAlignment="1" applyProtection="1">
      <alignment horizontal="left" vertical="center" wrapText="1"/>
      <protection hidden="1"/>
    </xf>
    <xf numFmtId="0" fontId="19" fillId="15" borderId="122" xfId="0" applyFont="1" applyFill="1" applyBorder="1" applyAlignment="1" applyProtection="1">
      <alignment horizontal="left" vertical="center" wrapText="1"/>
      <protection hidden="1"/>
    </xf>
    <xf numFmtId="0" fontId="19" fillId="15" borderId="112" xfId="0" applyFont="1" applyFill="1" applyBorder="1" applyAlignment="1" applyProtection="1">
      <alignment horizontal="left" vertical="center" wrapText="1"/>
      <protection hidden="1"/>
    </xf>
    <xf numFmtId="0" fontId="19" fillId="15" borderId="123" xfId="0" applyFont="1" applyFill="1" applyBorder="1" applyAlignment="1" applyProtection="1">
      <alignment horizontal="left" vertical="center" wrapText="1"/>
      <protection hidden="1"/>
    </xf>
    <xf numFmtId="0" fontId="147" fillId="11" borderId="0" xfId="0" applyFont="1" applyFill="1" applyAlignment="1" applyProtection="1">
      <alignment horizontal="justify" vertical="center" wrapText="1"/>
      <protection hidden="1"/>
    </xf>
    <xf numFmtId="0" fontId="146" fillId="3" borderId="17" xfId="0" applyFont="1" applyFill="1" applyBorder="1" applyAlignment="1" applyProtection="1">
      <alignment horizontal="left" vertical="center" wrapText="1"/>
      <protection hidden="1"/>
    </xf>
    <xf numFmtId="0" fontId="146" fillId="3" borderId="94" xfId="0" applyFont="1" applyFill="1" applyBorder="1" applyAlignment="1" applyProtection="1">
      <alignment horizontal="left" vertical="center" wrapText="1"/>
      <protection hidden="1"/>
    </xf>
    <xf numFmtId="0" fontId="146" fillId="3" borderId="93" xfId="0" applyFont="1" applyFill="1" applyBorder="1" applyAlignment="1" applyProtection="1">
      <alignment horizontal="left" vertical="center" wrapText="1"/>
      <protection hidden="1"/>
    </xf>
    <xf numFmtId="0" fontId="8" fillId="4" borderId="106" xfId="0" applyFont="1" applyFill="1" applyBorder="1" applyAlignment="1" applyProtection="1">
      <alignment horizontal="left" vertical="center" wrapText="1"/>
      <protection hidden="1"/>
    </xf>
    <xf numFmtId="0" fontId="8" fillId="4" borderId="108" xfId="0" applyFont="1" applyFill="1" applyBorder="1" applyAlignment="1" applyProtection="1">
      <alignment horizontal="left" vertical="center" wrapText="1"/>
      <protection hidden="1"/>
    </xf>
    <xf numFmtId="0" fontId="8" fillId="4" borderId="107" xfId="0" applyFont="1" applyFill="1" applyBorder="1" applyAlignment="1" applyProtection="1">
      <alignment horizontal="left" vertical="center" wrapText="1"/>
      <protection hidden="1"/>
    </xf>
    <xf numFmtId="0" fontId="19" fillId="15" borderId="4" xfId="0" applyFont="1" applyFill="1" applyBorder="1" applyAlignment="1" applyProtection="1">
      <alignment horizontal="justify" vertical="center" wrapText="1"/>
      <protection hidden="1"/>
    </xf>
    <xf numFmtId="0" fontId="19" fillId="20" borderId="4" xfId="0" applyFont="1" applyFill="1" applyBorder="1" applyAlignment="1" applyProtection="1">
      <alignment horizontal="left" wrapText="1"/>
      <protection locked="0" hidden="1"/>
    </xf>
    <xf numFmtId="0" fontId="19" fillId="20" borderId="122" xfId="0" applyFont="1" applyFill="1" applyBorder="1" applyAlignment="1" applyProtection="1">
      <alignment horizontal="justify" vertical="center" wrapText="1"/>
      <protection locked="0" hidden="1"/>
    </xf>
    <xf numFmtId="0" fontId="19" fillId="20" borderId="112" xfId="0" applyFont="1" applyFill="1" applyBorder="1" applyAlignment="1" applyProtection="1">
      <alignment horizontal="justify" vertical="center" wrapText="1"/>
      <protection locked="0" hidden="1"/>
    </xf>
    <xf numFmtId="0" fontId="19" fillId="20" borderId="113" xfId="0" applyFont="1" applyFill="1" applyBorder="1" applyAlignment="1" applyProtection="1">
      <alignment horizontal="justify" vertical="center" wrapText="1"/>
      <protection locked="0" hidden="1"/>
    </xf>
    <xf numFmtId="0" fontId="19" fillId="15" borderId="109" xfId="0" applyFont="1" applyFill="1" applyBorder="1" applyAlignment="1" applyProtection="1">
      <alignment horizontal="left" vertical="center" wrapText="1"/>
      <protection hidden="1"/>
    </xf>
    <xf numFmtId="0" fontId="19" fillId="15" borderId="0" xfId="0" applyFont="1" applyFill="1" applyBorder="1" applyAlignment="1" applyProtection="1">
      <alignment horizontal="left" vertical="center" wrapText="1"/>
      <protection hidden="1"/>
    </xf>
    <xf numFmtId="0" fontId="19" fillId="20" borderId="115" xfId="0" applyFont="1" applyFill="1" applyBorder="1" applyAlignment="1" applyProtection="1">
      <alignment horizontal="center" vertical="center" wrapText="1"/>
      <protection locked="0" hidden="1"/>
    </xf>
    <xf numFmtId="0" fontId="19" fillId="20" borderId="19" xfId="0" applyFont="1" applyFill="1" applyBorder="1" applyAlignment="1" applyProtection="1">
      <alignment horizontal="center" vertical="center" wrapText="1"/>
      <protection locked="0" hidden="1"/>
    </xf>
    <xf numFmtId="0" fontId="19" fillId="20" borderId="95" xfId="0" applyFont="1" applyFill="1" applyBorder="1" applyAlignment="1" applyProtection="1">
      <alignment horizontal="center" vertical="center" wrapText="1"/>
      <protection locked="0" hidden="1"/>
    </xf>
    <xf numFmtId="0" fontId="19" fillId="20" borderId="122" xfId="0" applyFont="1" applyFill="1" applyBorder="1" applyAlignment="1" applyProtection="1">
      <alignment horizontal="left" vertical="center" wrapText="1"/>
      <protection locked="0" hidden="1"/>
    </xf>
    <xf numFmtId="0" fontId="19" fillId="20" borderId="112" xfId="0" applyFont="1" applyFill="1" applyBorder="1" applyAlignment="1" applyProtection="1">
      <alignment horizontal="left" vertical="center" wrapText="1"/>
      <protection locked="0" hidden="1"/>
    </xf>
    <xf numFmtId="0" fontId="19" fillId="20" borderId="113" xfId="0" applyFont="1" applyFill="1" applyBorder="1" applyAlignment="1" applyProtection="1">
      <alignment horizontal="left" vertical="center" wrapText="1"/>
      <protection locked="0" hidden="1"/>
    </xf>
    <xf numFmtId="0" fontId="19" fillId="15" borderId="121" xfId="0" applyFont="1" applyFill="1" applyBorder="1" applyAlignment="1" applyProtection="1">
      <alignment horizontal="left" vertical="center" wrapText="1"/>
      <protection hidden="1"/>
    </xf>
    <xf numFmtId="0" fontId="19" fillId="15" borderId="8" xfId="0" applyFont="1" applyFill="1" applyBorder="1" applyAlignment="1" applyProtection="1">
      <alignment horizontal="left" vertical="center" wrapText="1"/>
      <protection hidden="1"/>
    </xf>
    <xf numFmtId="0" fontId="19" fillId="20" borderId="0" xfId="0" applyFont="1" applyFill="1" applyBorder="1" applyAlignment="1" applyProtection="1">
      <alignment horizontal="justify" vertical="center" wrapText="1"/>
      <protection locked="0" hidden="1"/>
    </xf>
    <xf numFmtId="0" fontId="19" fillId="20" borderId="110" xfId="0" applyFont="1" applyFill="1" applyBorder="1" applyAlignment="1" applyProtection="1">
      <alignment horizontal="justify" vertical="center" wrapText="1"/>
      <protection locked="0" hidden="1"/>
    </xf>
    <xf numFmtId="0" fontId="19" fillId="15" borderId="117" xfId="0" applyFont="1" applyFill="1" applyBorder="1" applyAlignment="1" applyProtection="1">
      <alignment horizontal="left" vertical="center" wrapText="1"/>
      <protection hidden="1"/>
    </xf>
    <xf numFmtId="0" fontId="19" fillId="15" borderId="36" xfId="0" applyFont="1" applyFill="1" applyBorder="1" applyAlignment="1" applyProtection="1">
      <alignment horizontal="left" vertical="center" wrapText="1"/>
      <protection hidden="1"/>
    </xf>
    <xf numFmtId="0" fontId="19" fillId="20" borderId="10" xfId="0" applyFont="1" applyFill="1" applyBorder="1" applyAlignment="1" applyProtection="1">
      <alignment horizontal="justify" vertical="center" wrapText="1"/>
      <protection locked="0" hidden="1"/>
    </xf>
    <xf numFmtId="0" fontId="19" fillId="20" borderId="7" xfId="0" applyFont="1" applyFill="1" applyBorder="1" applyAlignment="1" applyProtection="1">
      <alignment horizontal="justify" vertical="center" wrapText="1"/>
      <protection locked="0" hidden="1"/>
    </xf>
    <xf numFmtId="0" fontId="19" fillId="20" borderId="116" xfId="0" applyFont="1" applyFill="1" applyBorder="1" applyAlignment="1" applyProtection="1">
      <alignment horizontal="justify" vertical="center" wrapText="1"/>
      <protection locked="0" hidden="1"/>
    </xf>
    <xf numFmtId="0" fontId="19" fillId="20" borderId="10" xfId="0" applyFont="1" applyFill="1" applyBorder="1" applyAlignment="1" applyProtection="1">
      <alignment horizontal="center" vertical="center" wrapText="1"/>
      <protection locked="0" hidden="1"/>
    </xf>
    <xf numFmtId="0" fontId="19" fillId="20" borderId="7" xfId="0" applyFont="1" applyFill="1" applyBorder="1" applyAlignment="1" applyProtection="1">
      <alignment horizontal="center" vertical="center" wrapText="1"/>
      <protection locked="0" hidden="1"/>
    </xf>
    <xf numFmtId="0" fontId="19" fillId="20" borderId="116" xfId="0" applyFont="1" applyFill="1" applyBorder="1" applyAlignment="1" applyProtection="1">
      <alignment horizontal="center" vertical="center" wrapText="1"/>
      <protection locked="0" hidden="1"/>
    </xf>
    <xf numFmtId="0" fontId="19" fillId="20" borderId="10" xfId="0" applyFont="1" applyFill="1" applyBorder="1" applyAlignment="1" applyProtection="1">
      <alignment horizontal="left" vertical="center" wrapText="1"/>
      <protection locked="0" hidden="1"/>
    </xf>
    <xf numFmtId="0" fontId="19" fillId="20" borderId="7" xfId="0" applyFont="1" applyFill="1" applyBorder="1" applyAlignment="1" applyProtection="1">
      <alignment horizontal="left" vertical="center" wrapText="1"/>
      <protection locked="0" hidden="1"/>
    </xf>
    <xf numFmtId="0" fontId="19" fillId="20" borderId="116" xfId="0" applyFont="1" applyFill="1" applyBorder="1" applyAlignment="1" applyProtection="1">
      <alignment horizontal="left" vertical="center" wrapText="1"/>
      <protection locked="0" hidden="1"/>
    </xf>
    <xf numFmtId="0" fontId="19" fillId="15" borderId="7" xfId="0" applyFont="1" applyFill="1" applyBorder="1" applyAlignment="1" applyProtection="1">
      <alignment horizontal="left" vertical="center" wrapText="1"/>
      <protection hidden="1"/>
    </xf>
    <xf numFmtId="0" fontId="19" fillId="15" borderId="116" xfId="0" applyFont="1" applyFill="1" applyBorder="1" applyAlignment="1" applyProtection="1">
      <alignment horizontal="left" vertical="center" wrapText="1"/>
      <protection hidden="1"/>
    </xf>
    <xf numFmtId="0" fontId="19" fillId="20" borderId="120" xfId="0" applyFont="1" applyFill="1" applyBorder="1" applyAlignment="1" applyProtection="1">
      <alignment horizontal="left" vertical="center" wrapText="1"/>
      <protection locked="0" hidden="1"/>
    </xf>
    <xf numFmtId="0" fontId="19" fillId="20" borderId="33" xfId="0" applyFont="1" applyFill="1" applyBorder="1" applyAlignment="1" applyProtection="1">
      <alignment horizontal="left" vertical="center" wrapText="1"/>
      <protection locked="0" hidden="1"/>
    </xf>
    <xf numFmtId="0" fontId="19" fillId="20" borderId="118" xfId="0" applyFont="1" applyFill="1" applyBorder="1" applyAlignment="1" applyProtection="1">
      <alignment horizontal="left" vertical="center" wrapText="1"/>
      <protection locked="0" hidden="1"/>
    </xf>
    <xf numFmtId="0" fontId="19" fillId="20" borderId="109" xfId="0" applyFont="1" applyFill="1" applyBorder="1" applyAlignment="1" applyProtection="1">
      <alignment horizontal="left" vertical="center" wrapText="1"/>
      <protection locked="0" hidden="1"/>
    </xf>
    <xf numFmtId="0" fontId="19" fillId="20" borderId="0" xfId="0" applyFont="1" applyFill="1" applyBorder="1" applyAlignment="1" applyProtection="1">
      <alignment horizontal="left" vertical="center" wrapText="1"/>
      <protection locked="0" hidden="1"/>
    </xf>
    <xf numFmtId="0" fontId="19" fillId="20" borderId="110" xfId="0" applyFont="1" applyFill="1" applyBorder="1" applyAlignment="1" applyProtection="1">
      <alignment horizontal="left" vertical="center" wrapText="1"/>
      <protection locked="0" hidden="1"/>
    </xf>
    <xf numFmtId="0" fontId="19" fillId="20" borderId="117" xfId="0" applyFont="1" applyFill="1" applyBorder="1" applyAlignment="1" applyProtection="1">
      <alignment horizontal="left" vertical="center" wrapText="1"/>
      <protection locked="0" hidden="1"/>
    </xf>
    <xf numFmtId="0" fontId="19" fillId="20" borderId="3" xfId="0" applyFont="1" applyFill="1" applyBorder="1" applyAlignment="1" applyProtection="1">
      <alignment horizontal="left" vertical="center" wrapText="1"/>
      <protection locked="0" hidden="1"/>
    </xf>
    <xf numFmtId="0" fontId="19" fillId="20" borderId="119" xfId="0" applyFont="1" applyFill="1" applyBorder="1" applyAlignment="1" applyProtection="1">
      <alignment horizontal="left" vertical="center" wrapText="1"/>
      <protection locked="0" hidden="1"/>
    </xf>
    <xf numFmtId="0" fontId="19" fillId="15" borderId="22" xfId="0" applyFont="1" applyFill="1" applyBorder="1" applyAlignment="1" applyProtection="1">
      <alignment horizontal="left" vertical="center" wrapText="1"/>
      <protection hidden="1"/>
    </xf>
    <xf numFmtId="0" fontId="19" fillId="20" borderId="32" xfId="0" applyFont="1" applyFill="1" applyBorder="1" applyAlignment="1" applyProtection="1">
      <alignment horizontal="left" vertical="center" wrapText="1"/>
      <protection locked="0" hidden="1"/>
    </xf>
    <xf numFmtId="0" fontId="19" fillId="20" borderId="35" xfId="0" applyFont="1" applyFill="1" applyBorder="1" applyAlignment="1" applyProtection="1">
      <alignment horizontal="left" vertical="center" wrapText="1"/>
      <protection locked="0" hidden="1"/>
    </xf>
    <xf numFmtId="0" fontId="19" fillId="20" borderId="10" xfId="0" applyFont="1" applyFill="1" applyBorder="1" applyAlignment="1" applyProtection="1">
      <alignment horizontal="left" vertical="center"/>
      <protection locked="0" hidden="1"/>
    </xf>
    <xf numFmtId="0" fontId="19" fillId="20" borderId="7" xfId="0" applyFont="1" applyFill="1" applyBorder="1" applyAlignment="1" applyProtection="1">
      <alignment horizontal="left" vertical="center"/>
      <protection locked="0" hidden="1"/>
    </xf>
    <xf numFmtId="0" fontId="19" fillId="20" borderId="116" xfId="0" applyFont="1" applyFill="1" applyBorder="1" applyAlignment="1" applyProtection="1">
      <alignment horizontal="left" vertical="center"/>
      <protection locked="0" hidden="1"/>
    </xf>
    <xf numFmtId="0" fontId="19" fillId="15" borderId="114" xfId="0" applyFont="1" applyFill="1" applyBorder="1" applyAlignment="1" applyProtection="1">
      <alignment horizontal="left" vertical="center" wrapText="1"/>
      <protection hidden="1"/>
    </xf>
    <xf numFmtId="0" fontId="19" fillId="15" borderId="120" xfId="0" applyFont="1" applyFill="1" applyBorder="1" applyAlignment="1" applyProtection="1">
      <alignment horizontal="left" vertical="center" wrapText="1"/>
      <protection hidden="1"/>
    </xf>
    <xf numFmtId="0" fontId="19" fillId="15" borderId="34" xfId="0" applyFont="1" applyFill="1" applyBorder="1" applyAlignment="1" applyProtection="1">
      <alignment horizontal="left" vertical="center" wrapText="1"/>
      <protection hidden="1"/>
    </xf>
    <xf numFmtId="0" fontId="2" fillId="10" borderId="10" xfId="2" applyFont="1" applyFill="1" applyBorder="1" applyAlignment="1" applyProtection="1">
      <alignment horizontal="left" vertical="center" wrapText="1" indent="1"/>
      <protection hidden="1"/>
    </xf>
    <xf numFmtId="0" fontId="2" fillId="10" borderId="7" xfId="2" applyFont="1" applyFill="1" applyBorder="1" applyAlignment="1" applyProtection="1">
      <alignment horizontal="left" vertical="center" wrapText="1" indent="1"/>
      <protection hidden="1"/>
    </xf>
    <xf numFmtId="0" fontId="2" fillId="10" borderId="8" xfId="2" applyFont="1" applyFill="1" applyBorder="1" applyAlignment="1" applyProtection="1">
      <alignment horizontal="left" vertical="center" wrapText="1" indent="1"/>
      <protection hidden="1"/>
    </xf>
    <xf numFmtId="3" fontId="108" fillId="20" borderId="4" xfId="0" applyNumberFormat="1" applyFont="1" applyFill="1" applyBorder="1" applyAlignment="1" applyProtection="1">
      <alignment horizontal="center" vertical="center"/>
      <protection locked="0"/>
    </xf>
    <xf numFmtId="0" fontId="2" fillId="10" borderId="10" xfId="2" applyFont="1" applyFill="1" applyBorder="1" applyAlignment="1" applyProtection="1">
      <alignment horizontal="left" vertical="center" indent="1"/>
      <protection hidden="1"/>
    </xf>
    <xf numFmtId="0" fontId="2" fillId="10" borderId="7" xfId="2" applyFont="1" applyFill="1" applyBorder="1" applyAlignment="1" applyProtection="1">
      <alignment horizontal="left" vertical="center" indent="1"/>
      <protection hidden="1"/>
    </xf>
    <xf numFmtId="0" fontId="2" fillId="10" borderId="8" xfId="2" applyFont="1" applyFill="1" applyBorder="1" applyAlignment="1" applyProtection="1">
      <alignment horizontal="left" vertical="center" indent="1"/>
      <protection hidden="1"/>
    </xf>
    <xf numFmtId="0" fontId="120" fillId="10" borderId="0" xfId="0" applyFont="1" applyFill="1" applyAlignment="1">
      <alignment horizontal="left" vertical="center" wrapText="1" indent="7"/>
    </xf>
    <xf numFmtId="0" fontId="2" fillId="10" borderId="4" xfId="2" applyFont="1" applyFill="1" applyBorder="1" applyAlignment="1" applyProtection="1">
      <alignment horizontal="left" vertical="center" wrapText="1" indent="1"/>
      <protection hidden="1"/>
    </xf>
    <xf numFmtId="0" fontId="123" fillId="3" borderId="0" xfId="0" applyFont="1" applyFill="1" applyBorder="1" applyAlignment="1" applyProtection="1">
      <alignment horizontal="left" vertical="center" indent="1"/>
      <protection hidden="1"/>
    </xf>
    <xf numFmtId="0" fontId="25" fillId="14" borderId="0" xfId="2" applyFont="1" applyFill="1" applyBorder="1" applyAlignment="1" applyProtection="1">
      <alignment horizontal="left" vertical="center" wrapText="1"/>
      <protection hidden="1"/>
    </xf>
    <xf numFmtId="0" fontId="25" fillId="14" borderId="71" xfId="2" applyFont="1" applyFill="1" applyBorder="1" applyAlignment="1" applyProtection="1">
      <alignment vertical="center" wrapText="1"/>
      <protection hidden="1"/>
    </xf>
    <xf numFmtId="0" fontId="5" fillId="3" borderId="4" xfId="2" applyFont="1" applyFill="1" applyBorder="1" applyAlignment="1" applyProtection="1">
      <alignment horizontal="center" vertical="center" wrapText="1"/>
      <protection hidden="1"/>
    </xf>
    <xf numFmtId="0" fontId="4" fillId="21" borderId="20" xfId="3" applyFont="1" applyFill="1" applyBorder="1" applyAlignment="1" applyProtection="1">
      <alignment horizontal="left" vertical="center" indent="1"/>
      <protection hidden="1"/>
    </xf>
    <xf numFmtId="0" fontId="4" fillId="21" borderId="24" xfId="3" applyFont="1" applyFill="1" applyBorder="1" applyAlignment="1" applyProtection="1">
      <alignment horizontal="left" vertical="center" indent="1"/>
      <protection hidden="1"/>
    </xf>
    <xf numFmtId="0" fontId="25" fillId="14" borderId="6" xfId="2" applyFont="1" applyFill="1" applyBorder="1" applyAlignment="1" applyProtection="1">
      <alignment horizontal="left" vertical="center" wrapText="1"/>
      <protection hidden="1"/>
    </xf>
    <xf numFmtId="0" fontId="4" fillId="3" borderId="20" xfId="3" applyFont="1" applyFill="1" applyBorder="1" applyAlignment="1" applyProtection="1">
      <alignment horizontal="left" vertical="center" indent="1"/>
      <protection hidden="1"/>
    </xf>
    <xf numFmtId="0" fontId="4" fillId="3" borderId="24" xfId="3" applyFont="1" applyFill="1" applyBorder="1" applyAlignment="1" applyProtection="1">
      <alignment horizontal="left" vertical="center" indent="1"/>
      <protection hidden="1"/>
    </xf>
    <xf numFmtId="0" fontId="25" fillId="14" borderId="68" xfId="2" applyFont="1" applyFill="1" applyBorder="1" applyAlignment="1" applyProtection="1">
      <alignment horizontal="left" vertical="center" wrapText="1"/>
      <protection hidden="1"/>
    </xf>
    <xf numFmtId="0" fontId="4" fillId="6" borderId="69" xfId="3" applyFont="1" applyFill="1" applyBorder="1" applyAlignment="1" applyProtection="1">
      <alignment horizontal="left" vertical="center" wrapText="1" indent="1"/>
      <protection hidden="1"/>
    </xf>
    <xf numFmtId="0" fontId="4" fillId="6" borderId="68" xfId="3" applyFont="1" applyFill="1" applyBorder="1" applyAlignment="1" applyProtection="1">
      <alignment horizontal="left" vertical="center" wrapText="1" indent="1"/>
      <protection hidden="1"/>
    </xf>
    <xf numFmtId="0" fontId="20" fillId="3" borderId="4" xfId="2" applyFont="1" applyFill="1" applyBorder="1" applyAlignment="1" applyProtection="1">
      <alignment horizontal="center" vertical="center" wrapText="1"/>
      <protection hidden="1"/>
    </xf>
    <xf numFmtId="0" fontId="4" fillId="16" borderId="20" xfId="3" applyFont="1" applyFill="1" applyBorder="1" applyAlignment="1" applyProtection="1">
      <alignment horizontal="left" vertical="center" indent="1"/>
      <protection hidden="1"/>
    </xf>
    <xf numFmtId="0" fontId="4" fillId="16" borderId="24" xfId="3" applyFont="1" applyFill="1" applyBorder="1" applyAlignment="1" applyProtection="1">
      <alignment horizontal="left" vertical="center" indent="1"/>
      <protection hidden="1"/>
    </xf>
    <xf numFmtId="0" fontId="32" fillId="14" borderId="0" xfId="2" applyFont="1" applyFill="1" applyBorder="1" applyAlignment="1" applyProtection="1">
      <alignment horizontal="center" vertical="center" wrapText="1"/>
      <protection hidden="1"/>
    </xf>
    <xf numFmtId="0" fontId="25" fillId="14" borderId="72" xfId="2" applyFont="1" applyFill="1" applyBorder="1" applyAlignment="1" applyProtection="1">
      <alignment horizontal="center" vertical="center" wrapText="1"/>
      <protection hidden="1"/>
    </xf>
    <xf numFmtId="0" fontId="22" fillId="4" borderId="4" xfId="2" applyFont="1" applyFill="1" applyBorder="1" applyAlignment="1" applyProtection="1">
      <alignment horizontal="center" vertical="center" wrapText="1"/>
      <protection hidden="1"/>
    </xf>
    <xf numFmtId="0" fontId="20" fillId="5" borderId="20" xfId="3" applyFont="1" applyFill="1" applyBorder="1" applyAlignment="1" applyProtection="1">
      <alignment horizontal="left" vertical="center" wrapText="1" indent="1"/>
      <protection hidden="1"/>
    </xf>
    <xf numFmtId="0" fontId="20" fillId="5" borderId="24" xfId="3" applyFont="1" applyFill="1" applyBorder="1" applyAlignment="1" applyProtection="1">
      <alignment horizontal="left" vertical="center" wrapText="1" indent="1"/>
      <protection hidden="1"/>
    </xf>
    <xf numFmtId="0" fontId="31" fillId="3" borderId="0" xfId="2" applyFont="1" applyFill="1" applyBorder="1" applyAlignment="1" applyProtection="1">
      <alignment horizontal="center" vertical="center"/>
      <protection hidden="1"/>
    </xf>
    <xf numFmtId="0" fontId="4" fillId="13" borderId="20" xfId="3" applyFont="1" applyFill="1" applyBorder="1" applyAlignment="1" applyProtection="1">
      <alignment horizontal="left" vertical="center" indent="1"/>
      <protection hidden="1"/>
    </xf>
    <xf numFmtId="0" fontId="4" fillId="13" borderId="24" xfId="3" applyFont="1" applyFill="1" applyBorder="1" applyAlignment="1" applyProtection="1">
      <alignment horizontal="left" vertical="center" indent="1"/>
      <protection hidden="1"/>
    </xf>
    <xf numFmtId="0" fontId="32" fillId="14" borderId="6" xfId="2" applyFont="1" applyFill="1" applyBorder="1" applyAlignment="1" applyProtection="1">
      <alignment horizontal="center" vertical="center" wrapText="1"/>
      <protection hidden="1"/>
    </xf>
    <xf numFmtId="0" fontId="4" fillId="7" borderId="20" xfId="3" applyFont="1" applyFill="1" applyBorder="1" applyAlignment="1" applyProtection="1">
      <alignment horizontal="left" vertical="center" wrapText="1" indent="1"/>
      <protection hidden="1"/>
    </xf>
    <xf numFmtId="0" fontId="4" fillId="7" borderId="24" xfId="3" applyFont="1" applyFill="1" applyBorder="1" applyAlignment="1" applyProtection="1">
      <alignment horizontal="left" vertical="center" wrapText="1" indent="1"/>
      <protection hidden="1"/>
    </xf>
    <xf numFmtId="0" fontId="111" fillId="0" borderId="4" xfId="0" applyFont="1" applyBorder="1" applyAlignment="1" applyProtection="1">
      <alignment horizontal="center" vertical="center"/>
      <protection hidden="1"/>
    </xf>
    <xf numFmtId="0" fontId="5" fillId="6" borderId="32" xfId="2" applyFont="1" applyFill="1" applyBorder="1" applyAlignment="1" applyProtection="1">
      <alignment horizontal="center" vertical="center" wrapText="1"/>
      <protection hidden="1"/>
    </xf>
    <xf numFmtId="0" fontId="5" fillId="6" borderId="33" xfId="2" applyFont="1" applyFill="1" applyBorder="1" applyAlignment="1" applyProtection="1">
      <alignment horizontal="center" vertical="center" wrapText="1"/>
      <protection hidden="1"/>
    </xf>
    <xf numFmtId="0" fontId="5" fillId="6" borderId="35" xfId="2" applyFont="1" applyFill="1" applyBorder="1" applyAlignment="1" applyProtection="1">
      <alignment horizontal="center" vertical="center" wrapText="1"/>
      <protection hidden="1"/>
    </xf>
    <xf numFmtId="0" fontId="5" fillId="6" borderId="3" xfId="2" applyFont="1" applyFill="1" applyBorder="1" applyAlignment="1" applyProtection="1">
      <alignment horizontal="center" vertical="center" wrapText="1"/>
      <protection hidden="1"/>
    </xf>
    <xf numFmtId="0" fontId="112" fillId="0" borderId="4" xfId="0" applyFont="1" applyBorder="1" applyAlignment="1" applyProtection="1">
      <alignment horizontal="center" vertical="center"/>
      <protection hidden="1"/>
    </xf>
    <xf numFmtId="0" fontId="89" fillId="3" borderId="0" xfId="0" applyFont="1" applyFill="1" applyBorder="1" applyAlignment="1" applyProtection="1">
      <alignment horizontal="left" vertical="center" indent="1"/>
      <protection hidden="1"/>
    </xf>
    <xf numFmtId="0" fontId="65" fillId="10" borderId="0" xfId="0" applyFont="1" applyFill="1" applyAlignment="1">
      <alignment horizontal="left" wrapText="1" indent="1"/>
    </xf>
    <xf numFmtId="0" fontId="51" fillId="21" borderId="4" xfId="0" applyFont="1" applyFill="1" applyBorder="1" applyAlignment="1" applyProtection="1">
      <alignment horizontal="center" vertical="center" wrapText="1"/>
      <protection hidden="1"/>
    </xf>
    <xf numFmtId="0" fontId="121" fillId="10" borderId="10" xfId="3" applyFont="1" applyFill="1" applyBorder="1" applyAlignment="1">
      <alignment horizontal="left" vertical="center" indent="1"/>
    </xf>
    <xf numFmtId="0" fontId="121" fillId="10" borderId="8" xfId="3" applyFont="1" applyFill="1" applyBorder="1" applyAlignment="1">
      <alignment horizontal="left" vertical="center" indent="1"/>
    </xf>
    <xf numFmtId="0" fontId="5" fillId="21" borderId="0" xfId="2" applyFont="1" applyFill="1" applyBorder="1" applyAlignment="1" applyProtection="1">
      <alignment horizontal="left" vertical="top" wrapText="1"/>
      <protection hidden="1"/>
    </xf>
    <xf numFmtId="0" fontId="50" fillId="21" borderId="33" xfId="2" applyFont="1" applyFill="1" applyBorder="1" applyAlignment="1">
      <alignment horizontal="left" vertical="center"/>
    </xf>
    <xf numFmtId="0" fontId="50" fillId="21" borderId="0" xfId="2" applyFont="1" applyFill="1" applyBorder="1" applyAlignment="1">
      <alignment horizontal="left" vertical="center"/>
    </xf>
    <xf numFmtId="0" fontId="51" fillId="21" borderId="32" xfId="0" applyFont="1" applyFill="1" applyBorder="1" applyAlignment="1" applyProtection="1">
      <alignment horizontal="left" vertical="center" indent="1"/>
      <protection hidden="1"/>
    </xf>
    <xf numFmtId="0" fontId="51" fillId="21" borderId="34" xfId="0" applyFont="1" applyFill="1" applyBorder="1" applyAlignment="1" applyProtection="1">
      <alignment horizontal="left" vertical="center" indent="1"/>
      <protection hidden="1"/>
    </xf>
    <xf numFmtId="0" fontId="51" fillId="21" borderId="35" xfId="0" applyFont="1" applyFill="1" applyBorder="1" applyAlignment="1" applyProtection="1">
      <alignment horizontal="left" vertical="center" indent="1"/>
      <protection hidden="1"/>
    </xf>
    <xf numFmtId="0" fontId="51" fillId="21" borderId="36" xfId="0" applyFont="1" applyFill="1" applyBorder="1" applyAlignment="1" applyProtection="1">
      <alignment horizontal="left" vertical="center" indent="1"/>
      <protection hidden="1"/>
    </xf>
    <xf numFmtId="0" fontId="2" fillId="10" borderId="73" xfId="2" applyFill="1" applyBorder="1" applyAlignment="1" applyProtection="1">
      <alignment horizontal="left" vertical="center" indent="5"/>
      <protection hidden="1"/>
    </xf>
    <xf numFmtId="0" fontId="2" fillId="10" borderId="6" xfId="2" applyFill="1" applyBorder="1" applyAlignment="1" applyProtection="1">
      <alignment horizontal="left" vertical="center" indent="5"/>
      <protection hidden="1"/>
    </xf>
    <xf numFmtId="0" fontId="2" fillId="10" borderId="74" xfId="2" applyFill="1" applyBorder="1" applyAlignment="1" applyProtection="1">
      <alignment horizontal="left" vertical="center" indent="5"/>
      <protection hidden="1"/>
    </xf>
    <xf numFmtId="0" fontId="2" fillId="10" borderId="71" xfId="2" applyFill="1" applyBorder="1" applyAlignment="1" applyProtection="1">
      <alignment horizontal="left" vertical="center" indent="9"/>
      <protection hidden="1"/>
    </xf>
    <xf numFmtId="0" fontId="2" fillId="10" borderId="0" xfId="2" applyFill="1" applyBorder="1" applyAlignment="1" applyProtection="1">
      <alignment horizontal="left" vertical="center" indent="9"/>
      <protection hidden="1"/>
    </xf>
    <xf numFmtId="0" fontId="2" fillId="10" borderId="72" xfId="2" applyFill="1" applyBorder="1" applyAlignment="1" applyProtection="1">
      <alignment horizontal="left" vertical="center" indent="9"/>
      <protection hidden="1"/>
    </xf>
    <xf numFmtId="0" fontId="135" fillId="10" borderId="71" xfId="2" applyFont="1" applyFill="1" applyBorder="1" applyAlignment="1" applyProtection="1">
      <alignment horizontal="left" vertical="center" indent="7"/>
      <protection hidden="1"/>
    </xf>
    <xf numFmtId="0" fontId="135" fillId="10" borderId="0" xfId="2" applyFont="1" applyFill="1" applyBorder="1" applyAlignment="1" applyProtection="1">
      <alignment horizontal="left" vertical="center" indent="7"/>
      <protection hidden="1"/>
    </xf>
    <xf numFmtId="0" fontId="135" fillId="10" borderId="72" xfId="2" applyFont="1" applyFill="1" applyBorder="1" applyAlignment="1" applyProtection="1">
      <alignment horizontal="left" vertical="center" indent="7"/>
      <protection hidden="1"/>
    </xf>
    <xf numFmtId="0" fontId="2" fillId="10" borderId="73" xfId="2" applyFill="1" applyBorder="1" applyAlignment="1" applyProtection="1">
      <alignment horizontal="left" vertical="center" indent="9"/>
      <protection hidden="1"/>
    </xf>
    <xf numFmtId="0" fontId="2" fillId="10" borderId="6" xfId="2" applyFill="1" applyBorder="1" applyAlignment="1" applyProtection="1">
      <alignment horizontal="left" vertical="center" indent="9"/>
      <protection hidden="1"/>
    </xf>
    <xf numFmtId="0" fontId="2" fillId="10" borderId="74" xfId="2" applyFill="1" applyBorder="1" applyAlignment="1" applyProtection="1">
      <alignment horizontal="left" vertical="center" indent="9"/>
      <protection hidden="1"/>
    </xf>
    <xf numFmtId="0" fontId="2" fillId="10" borderId="69" xfId="2" applyFill="1" applyBorder="1" applyAlignment="1" applyProtection="1">
      <alignment horizontal="left" vertical="center" indent="5"/>
      <protection hidden="1"/>
    </xf>
    <xf numFmtId="0" fontId="2" fillId="10" borderId="68" xfId="2" applyFill="1" applyBorder="1" applyAlignment="1" applyProtection="1">
      <alignment horizontal="left" vertical="center" indent="5"/>
      <protection hidden="1"/>
    </xf>
    <xf numFmtId="0" fontId="2" fillId="10" borderId="70" xfId="2" applyFill="1" applyBorder="1" applyAlignment="1" applyProtection="1">
      <alignment horizontal="left" vertical="center" indent="5"/>
      <protection hidden="1"/>
    </xf>
    <xf numFmtId="0" fontId="2" fillId="4" borderId="10" xfId="0" applyFont="1" applyFill="1" applyBorder="1" applyAlignment="1" applyProtection="1">
      <alignment horizontal="left" vertical="center" wrapText="1" indent="1"/>
      <protection hidden="1"/>
    </xf>
    <xf numFmtId="0" fontId="2" fillId="4" borderId="7" xfId="0" applyFont="1" applyFill="1" applyBorder="1" applyAlignment="1" applyProtection="1">
      <alignment horizontal="left" vertical="center" wrapText="1" indent="1"/>
      <protection hidden="1"/>
    </xf>
    <xf numFmtId="0" fontId="2" fillId="4" borderId="8" xfId="0" applyFont="1" applyFill="1" applyBorder="1" applyAlignment="1" applyProtection="1">
      <alignment horizontal="left" vertical="center" wrapText="1" indent="1"/>
      <protection hidden="1"/>
    </xf>
    <xf numFmtId="0" fontId="22" fillId="10" borderId="69" xfId="2" applyFont="1" applyFill="1" applyBorder="1" applyAlignment="1" applyProtection="1">
      <alignment horizontal="left" vertical="center" indent="6"/>
      <protection hidden="1"/>
    </xf>
    <xf numFmtId="0" fontId="22" fillId="10" borderId="68" xfId="2" applyFont="1" applyFill="1" applyBorder="1" applyAlignment="1" applyProtection="1">
      <alignment horizontal="left" vertical="center" indent="6"/>
      <protection hidden="1"/>
    </xf>
    <xf numFmtId="0" fontId="22" fillId="10" borderId="70" xfId="2" applyFont="1" applyFill="1" applyBorder="1" applyAlignment="1" applyProtection="1">
      <alignment horizontal="left" vertical="center" indent="6"/>
      <protection hidden="1"/>
    </xf>
    <xf numFmtId="0" fontId="13" fillId="21" borderId="10" xfId="0" applyFont="1" applyFill="1" applyBorder="1" applyAlignment="1" applyProtection="1">
      <alignment horizontal="left" vertical="center" indent="1"/>
      <protection hidden="1"/>
    </xf>
    <xf numFmtId="0" fontId="13" fillId="21" borderId="7" xfId="0" applyFont="1" applyFill="1" applyBorder="1" applyAlignment="1" applyProtection="1">
      <alignment horizontal="left" vertical="center" indent="1"/>
      <protection hidden="1"/>
    </xf>
    <xf numFmtId="0" fontId="9" fillId="21" borderId="0" xfId="0" applyFont="1" applyFill="1" applyBorder="1" applyAlignment="1" applyProtection="1">
      <alignment horizontal="left" vertical="center" indent="1"/>
      <protection hidden="1"/>
    </xf>
    <xf numFmtId="0" fontId="72" fillId="2" borderId="0" xfId="2" applyFont="1" applyFill="1" applyAlignment="1" applyProtection="1">
      <alignment horizontal="right" vertical="center" wrapText="1"/>
      <protection hidden="1"/>
    </xf>
    <xf numFmtId="0" fontId="72" fillId="2" borderId="26" xfId="2" applyFont="1" applyFill="1" applyBorder="1" applyAlignment="1" applyProtection="1">
      <alignment horizontal="right" vertical="center" wrapText="1"/>
      <protection hidden="1"/>
    </xf>
    <xf numFmtId="0" fontId="2" fillId="20" borderId="32" xfId="2" applyFont="1" applyFill="1" applyBorder="1" applyAlignment="1" applyProtection="1">
      <alignment horizontal="center" vertical="center"/>
      <protection locked="0"/>
    </xf>
    <xf numFmtId="0" fontId="2" fillId="20" borderId="33" xfId="2" applyFont="1" applyFill="1" applyBorder="1" applyAlignment="1" applyProtection="1">
      <alignment horizontal="center" vertical="center"/>
      <protection locked="0"/>
    </xf>
    <xf numFmtId="0" fontId="13" fillId="21" borderId="7" xfId="0" applyFont="1" applyFill="1" applyBorder="1" applyAlignment="1" applyProtection="1">
      <alignment horizontal="center" vertical="center"/>
      <protection hidden="1"/>
    </xf>
    <xf numFmtId="0" fontId="13" fillId="21" borderId="8" xfId="0" applyFont="1" applyFill="1" applyBorder="1" applyAlignment="1" applyProtection="1">
      <alignment horizontal="center" vertical="center"/>
      <protection hidden="1"/>
    </xf>
    <xf numFmtId="0" fontId="10" fillId="21" borderId="0" xfId="0" applyFont="1" applyFill="1" applyBorder="1" applyAlignment="1" applyProtection="1">
      <alignment horizontal="left" vertical="center" indent="1"/>
      <protection hidden="1"/>
    </xf>
    <xf numFmtId="0" fontId="40" fillId="21" borderId="0" xfId="0" applyFont="1" applyFill="1" applyBorder="1" applyAlignment="1" applyProtection="1">
      <alignment horizontal="left" vertical="center" indent="1"/>
      <protection hidden="1"/>
    </xf>
    <xf numFmtId="0" fontId="17" fillId="21" borderId="4" xfId="2" applyFont="1" applyFill="1" applyBorder="1" applyAlignment="1" applyProtection="1">
      <alignment horizontal="center" vertical="center"/>
      <protection hidden="1"/>
    </xf>
    <xf numFmtId="0" fontId="17" fillId="21" borderId="4" xfId="2" applyFont="1" applyFill="1" applyBorder="1" applyAlignment="1" applyProtection="1">
      <alignment horizontal="center" vertical="center" wrapText="1"/>
      <protection hidden="1"/>
    </xf>
    <xf numFmtId="0" fontId="2" fillId="20" borderId="31" xfId="2" applyFont="1" applyFill="1" applyBorder="1" applyAlignment="1" applyProtection="1">
      <alignment horizontal="center" vertical="center"/>
      <protection locked="0"/>
    </xf>
    <xf numFmtId="0" fontId="2" fillId="20" borderId="4" xfId="2" applyFont="1" applyFill="1" applyBorder="1" applyAlignment="1" applyProtection="1">
      <alignment horizontal="center" vertical="center"/>
      <protection locked="0"/>
    </xf>
    <xf numFmtId="0" fontId="21" fillId="2" borderId="0" xfId="0" applyFont="1" applyFill="1" applyBorder="1" applyAlignment="1" applyProtection="1">
      <alignment horizontal="left" vertical="center" wrapText="1" indent="5"/>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67" fillId="11" borderId="60" xfId="2" applyFont="1" applyFill="1" applyBorder="1" applyAlignment="1" applyProtection="1">
      <alignment horizontal="left" vertical="center" wrapText="1" indent="1"/>
      <protection hidden="1"/>
    </xf>
    <xf numFmtId="0" fontId="67" fillId="11" borderId="61" xfId="2" applyFont="1" applyFill="1" applyBorder="1" applyAlignment="1" applyProtection="1">
      <alignment horizontal="left" vertical="center" wrapText="1" indent="1"/>
      <protection hidden="1"/>
    </xf>
    <xf numFmtId="0" fontId="67" fillId="11" borderId="62" xfId="2" applyFont="1" applyFill="1" applyBorder="1" applyAlignment="1" applyProtection="1">
      <alignment horizontal="left" vertical="center" wrapText="1" indent="1"/>
      <protection hidden="1"/>
    </xf>
    <xf numFmtId="0" fontId="67" fillId="11" borderId="63" xfId="2" applyFont="1" applyFill="1" applyBorder="1" applyAlignment="1" applyProtection="1">
      <alignment horizontal="left" vertical="center" wrapText="1" indent="1"/>
      <protection hidden="1"/>
    </xf>
    <xf numFmtId="0" fontId="67" fillId="11" borderId="0" xfId="2" applyFont="1" applyFill="1" applyBorder="1" applyAlignment="1" applyProtection="1">
      <alignment horizontal="left" vertical="center" wrapText="1" indent="1"/>
      <protection hidden="1"/>
    </xf>
    <xf numFmtId="0" fontId="67" fillId="11" borderId="64" xfId="2" applyFont="1" applyFill="1" applyBorder="1" applyAlignment="1" applyProtection="1">
      <alignment horizontal="left" vertical="center" wrapText="1" indent="1"/>
      <protection hidden="1"/>
    </xf>
    <xf numFmtId="0" fontId="67" fillId="11" borderId="25" xfId="2" applyFont="1" applyFill="1" applyBorder="1" applyAlignment="1" applyProtection="1">
      <alignment horizontal="left" vertical="center" wrapText="1" indent="1"/>
      <protection hidden="1"/>
    </xf>
    <xf numFmtId="0" fontId="67" fillId="11" borderId="26" xfId="2" applyFont="1" applyFill="1" applyBorder="1" applyAlignment="1" applyProtection="1">
      <alignment horizontal="left" vertical="center" wrapText="1" indent="1"/>
      <protection hidden="1"/>
    </xf>
    <xf numFmtId="0" fontId="67" fillId="11" borderId="27" xfId="2" applyFont="1" applyFill="1" applyBorder="1" applyAlignment="1" applyProtection="1">
      <alignment horizontal="left" vertical="center" wrapText="1" indent="1"/>
      <protection hidden="1"/>
    </xf>
    <xf numFmtId="0" fontId="20" fillId="21" borderId="28" xfId="2" applyFont="1" applyFill="1" applyBorder="1" applyAlignment="1" applyProtection="1">
      <alignment horizontal="left" vertical="center" wrapText="1" indent="1"/>
      <protection hidden="1"/>
    </xf>
    <xf numFmtId="0" fontId="20" fillId="21" borderId="29" xfId="2" applyFont="1" applyFill="1" applyBorder="1" applyAlignment="1" applyProtection="1">
      <alignment horizontal="left" vertical="center" wrapText="1" indent="1"/>
      <protection hidden="1"/>
    </xf>
    <xf numFmtId="0" fontId="2" fillId="11" borderId="28" xfId="2" applyFont="1" applyFill="1" applyBorder="1" applyAlignment="1" applyProtection="1">
      <alignment horizontal="left" vertical="center" wrapText="1" indent="1"/>
      <protection hidden="1"/>
    </xf>
    <xf numFmtId="0" fontId="2" fillId="11" borderId="29" xfId="2" applyFont="1" applyFill="1" applyBorder="1" applyAlignment="1" applyProtection="1">
      <alignment horizontal="left" vertical="center" wrapText="1" indent="1"/>
      <protection hidden="1"/>
    </xf>
    <xf numFmtId="0" fontId="22" fillId="10" borderId="28" xfId="2" applyFont="1" applyFill="1" applyBorder="1" applyAlignment="1">
      <alignment horizontal="left" vertical="center" wrapText="1" indent="1"/>
    </xf>
    <xf numFmtId="0" fontId="2" fillId="10" borderId="29" xfId="2" applyFont="1" applyFill="1" applyBorder="1" applyAlignment="1">
      <alignment horizontal="left" vertical="center" wrapText="1" indent="1"/>
    </xf>
    <xf numFmtId="0" fontId="2" fillId="10" borderId="30" xfId="2" applyFont="1" applyFill="1" applyBorder="1" applyAlignment="1">
      <alignment horizontal="left" vertical="center" wrapText="1" indent="1"/>
    </xf>
    <xf numFmtId="0" fontId="2" fillId="2" borderId="0" xfId="2" applyFill="1" applyAlignment="1" applyProtection="1">
      <alignment horizontal="center" vertical="center"/>
      <protection hidden="1"/>
    </xf>
    <xf numFmtId="0" fontId="11" fillId="21" borderId="4" xfId="2" applyFont="1" applyFill="1" applyBorder="1" applyAlignment="1" applyProtection="1">
      <alignment horizontal="center" vertical="center"/>
      <protection hidden="1"/>
    </xf>
    <xf numFmtId="0" fontId="22" fillId="2" borderId="0" xfId="2" applyFont="1" applyFill="1" applyBorder="1" applyAlignment="1" applyProtection="1">
      <alignment horizontal="left" wrapText="1" indent="5"/>
      <protection hidden="1"/>
    </xf>
    <xf numFmtId="0" fontId="2" fillId="2" borderId="0" xfId="2" applyFill="1" applyBorder="1" applyAlignment="1" applyProtection="1">
      <alignment horizontal="left" wrapText="1" indent="5"/>
      <protection hidden="1"/>
    </xf>
    <xf numFmtId="0" fontId="2" fillId="10" borderId="63" xfId="2" applyFill="1" applyBorder="1" applyAlignment="1">
      <alignment horizontal="left" indent="8"/>
    </xf>
    <xf numFmtId="0" fontId="2" fillId="10" borderId="0" xfId="2" applyFill="1" applyBorder="1" applyAlignment="1">
      <alignment horizontal="left" indent="8"/>
    </xf>
    <xf numFmtId="0" fontId="2" fillId="10" borderId="64" xfId="2" applyFill="1" applyBorder="1" applyAlignment="1">
      <alignment horizontal="left" indent="8"/>
    </xf>
    <xf numFmtId="0" fontId="17" fillId="21" borderId="4" xfId="0" applyFont="1" applyFill="1" applyBorder="1" applyAlignment="1" applyProtection="1">
      <alignment horizontal="center" vertical="center"/>
      <protection hidden="1"/>
    </xf>
    <xf numFmtId="164" fontId="8" fillId="9" borderId="4" xfId="1" applyNumberFormat="1" applyFont="1" applyFill="1" applyBorder="1" applyAlignment="1" applyProtection="1">
      <alignment horizontal="center" vertical="center" wrapText="1"/>
      <protection hidden="1"/>
    </xf>
    <xf numFmtId="0" fontId="2" fillId="10" borderId="63" xfId="2" applyFill="1" applyBorder="1" applyAlignment="1">
      <alignment horizontal="left" vertical="center" indent="9"/>
    </xf>
    <xf numFmtId="0" fontId="2" fillId="10" borderId="0" xfId="2" applyFill="1" applyBorder="1" applyAlignment="1">
      <alignment horizontal="left" vertical="center" indent="9"/>
    </xf>
    <xf numFmtId="0" fontId="2" fillId="10" borderId="64" xfId="2" applyFill="1" applyBorder="1" applyAlignment="1">
      <alignment horizontal="left" vertical="center" indent="9"/>
    </xf>
    <xf numFmtId="0" fontId="22" fillId="10" borderId="63" xfId="2" quotePrefix="1" applyFont="1" applyFill="1" applyBorder="1" applyAlignment="1">
      <alignment horizontal="left" vertical="center" indent="7"/>
    </xf>
    <xf numFmtId="0" fontId="22" fillId="10" borderId="0" xfId="2" quotePrefix="1" applyFont="1" applyFill="1" applyBorder="1" applyAlignment="1">
      <alignment horizontal="left" vertical="center" indent="7"/>
    </xf>
    <xf numFmtId="0" fontId="22" fillId="10" borderId="64" xfId="2" quotePrefix="1" applyFont="1" applyFill="1" applyBorder="1" applyAlignment="1">
      <alignment horizontal="left" vertical="center" indent="7"/>
    </xf>
    <xf numFmtId="0" fontId="2" fillId="10" borderId="63" xfId="2" applyFill="1" applyBorder="1" applyAlignment="1">
      <alignment horizontal="left" vertical="center" indent="8"/>
    </xf>
    <xf numFmtId="0" fontId="2" fillId="10" borderId="0" xfId="2" applyFill="1" applyBorder="1" applyAlignment="1">
      <alignment horizontal="left" vertical="center" indent="8"/>
    </xf>
    <xf numFmtId="0" fontId="2" fillId="10" borderId="64" xfId="2" applyFill="1" applyBorder="1" applyAlignment="1">
      <alignment horizontal="left" vertical="center" indent="8"/>
    </xf>
    <xf numFmtId="0" fontId="2" fillId="10" borderId="25" xfId="2" quotePrefix="1" applyFill="1" applyBorder="1" applyAlignment="1">
      <alignment horizontal="left" vertical="center" indent="9"/>
    </xf>
    <xf numFmtId="0" fontId="2" fillId="10" borderId="26" xfId="2" quotePrefix="1" applyFill="1" applyBorder="1" applyAlignment="1">
      <alignment horizontal="left" vertical="center" indent="9"/>
    </xf>
    <xf numFmtId="0" fontId="2" fillId="10" borderId="27" xfId="2" quotePrefix="1" applyFill="1" applyBorder="1" applyAlignment="1">
      <alignment horizontal="left" vertical="center" indent="9"/>
    </xf>
    <xf numFmtId="0" fontId="14" fillId="20" borderId="4" xfId="0" applyFont="1" applyFill="1" applyBorder="1" applyAlignment="1" applyProtection="1">
      <alignment horizontal="center" vertical="center" wrapText="1"/>
      <protection locked="0"/>
    </xf>
    <xf numFmtId="0" fontId="14" fillId="15" borderId="4" xfId="0" applyFont="1" applyFill="1" applyBorder="1" applyAlignment="1">
      <alignment horizontal="center" vertical="center" wrapText="1"/>
    </xf>
    <xf numFmtId="0" fontId="17" fillId="21" borderId="4" xfId="2" applyFont="1" applyFill="1" applyBorder="1" applyAlignment="1">
      <alignment horizontal="center" vertical="center" wrapText="1"/>
    </xf>
    <xf numFmtId="0" fontId="17" fillId="8" borderId="4" xfId="2" applyFont="1" applyFill="1" applyBorder="1" applyAlignment="1">
      <alignment horizontal="center" vertical="center"/>
    </xf>
    <xf numFmtId="0" fontId="2" fillId="10" borderId="60" xfId="2" applyFill="1" applyBorder="1" applyAlignment="1">
      <alignment horizontal="left" vertical="center" indent="7"/>
    </xf>
    <xf numFmtId="0" fontId="2" fillId="10" borderId="61" xfId="2" applyFill="1" applyBorder="1" applyAlignment="1">
      <alignment horizontal="left" vertical="center" indent="7"/>
    </xf>
    <xf numFmtId="0" fontId="2" fillId="10" borderId="62" xfId="2" applyFill="1" applyBorder="1" applyAlignment="1">
      <alignment horizontal="left" vertical="center" indent="7"/>
    </xf>
    <xf numFmtId="0" fontId="2" fillId="10" borderId="60" xfId="2" applyFill="1" applyBorder="1" applyAlignment="1">
      <alignment horizontal="left" indent="6"/>
    </xf>
    <xf numFmtId="0" fontId="2" fillId="10" borderId="61" xfId="2" applyFill="1" applyBorder="1" applyAlignment="1">
      <alignment horizontal="left" indent="6"/>
    </xf>
    <xf numFmtId="0" fontId="2" fillId="10" borderId="62" xfId="2" applyFill="1" applyBorder="1" applyAlignment="1">
      <alignment horizontal="left" indent="6"/>
    </xf>
    <xf numFmtId="0" fontId="2" fillId="10" borderId="25" xfId="2" applyFill="1" applyBorder="1" applyAlignment="1">
      <alignment horizontal="left" indent="8"/>
    </xf>
    <xf numFmtId="0" fontId="2" fillId="10" borderId="26" xfId="2" applyFill="1" applyBorder="1" applyAlignment="1">
      <alignment horizontal="left" indent="8"/>
    </xf>
    <xf numFmtId="0" fontId="2" fillId="10" borderId="27" xfId="2" applyFill="1" applyBorder="1" applyAlignment="1">
      <alignment horizontal="left" indent="8"/>
    </xf>
    <xf numFmtId="0" fontId="49" fillId="8" borderId="4" xfId="0" applyFont="1" applyFill="1" applyBorder="1" applyAlignment="1">
      <alignment horizontal="center" vertical="center" wrapText="1"/>
    </xf>
    <xf numFmtId="0" fontId="49" fillId="8" borderId="37" xfId="0" applyFont="1" applyFill="1" applyBorder="1" applyAlignment="1">
      <alignment horizontal="center" vertical="center" wrapText="1"/>
    </xf>
    <xf numFmtId="0" fontId="49" fillId="8" borderId="31" xfId="0" applyFont="1" applyFill="1" applyBorder="1" applyAlignment="1">
      <alignment horizontal="center" vertical="center" wrapText="1"/>
    </xf>
    <xf numFmtId="0" fontId="2" fillId="26" borderId="3" xfId="2" applyFill="1" applyBorder="1" applyAlignment="1" applyProtection="1">
      <alignment horizontal="center" vertical="center"/>
      <protection hidden="1"/>
    </xf>
    <xf numFmtId="0" fontId="2" fillId="10" borderId="71" xfId="2" applyFill="1" applyBorder="1" applyAlignment="1" applyProtection="1">
      <alignment horizontal="left" vertical="center" wrapText="1" indent="6"/>
      <protection hidden="1"/>
    </xf>
    <xf numFmtId="0" fontId="2" fillId="10" borderId="0" xfId="2" applyFill="1" applyBorder="1" applyAlignment="1" applyProtection="1">
      <alignment horizontal="left" vertical="center" wrapText="1" indent="6"/>
      <protection hidden="1"/>
    </xf>
    <xf numFmtId="0" fontId="2" fillId="10" borderId="72" xfId="2" applyFill="1" applyBorder="1" applyAlignment="1" applyProtection="1">
      <alignment horizontal="left" vertical="center" wrapText="1" indent="6"/>
      <protection hidden="1"/>
    </xf>
    <xf numFmtId="0" fontId="2" fillId="10" borderId="73" xfId="2" applyFill="1" applyBorder="1" applyAlignment="1" applyProtection="1">
      <alignment horizontal="left" vertical="center" wrapText="1" indent="6"/>
      <protection hidden="1"/>
    </xf>
    <xf numFmtId="0" fontId="2" fillId="10" borderId="6" xfId="2" applyFill="1" applyBorder="1" applyAlignment="1" applyProtection="1">
      <alignment horizontal="left" vertical="center" wrapText="1" indent="6"/>
      <protection hidden="1"/>
    </xf>
    <xf numFmtId="0" fontId="2" fillId="10" borderId="74" xfId="2" applyFill="1" applyBorder="1" applyAlignment="1" applyProtection="1">
      <alignment horizontal="left" vertical="center" wrapText="1" indent="6"/>
      <protection hidden="1"/>
    </xf>
    <xf numFmtId="0" fontId="49" fillId="8" borderId="17" xfId="0" applyFont="1" applyFill="1" applyBorder="1" applyAlignment="1">
      <alignment horizontal="center" vertical="center" wrapText="1"/>
    </xf>
    <xf numFmtId="0" fontId="49" fillId="8" borderId="94" xfId="0" applyFont="1" applyFill="1" applyBorder="1" applyAlignment="1">
      <alignment horizontal="center" vertical="center" wrapText="1"/>
    </xf>
    <xf numFmtId="0" fontId="49" fillId="8" borderId="93" xfId="0" applyFont="1" applyFill="1" applyBorder="1" applyAlignment="1">
      <alignment horizontal="center" vertical="center" wrapText="1"/>
    </xf>
    <xf numFmtId="166" fontId="14" fillId="10" borderId="4" xfId="0" applyNumberFormat="1" applyFont="1" applyFill="1" applyBorder="1" applyAlignment="1" applyProtection="1">
      <alignment horizontal="center" vertical="center" wrapText="1"/>
      <protection hidden="1"/>
    </xf>
    <xf numFmtId="2" fontId="2" fillId="4" borderId="32" xfId="1" applyNumberFormat="1" applyFont="1" applyFill="1" applyBorder="1" applyAlignment="1" applyProtection="1">
      <alignment horizontal="center" vertical="center" wrapText="1"/>
      <protection hidden="1"/>
    </xf>
    <xf numFmtId="2" fontId="2" fillId="4" borderId="33" xfId="1" applyNumberFormat="1"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2" fillId="0" borderId="28" xfId="2" applyFont="1" applyFill="1" applyBorder="1" applyAlignment="1">
      <alignment horizontal="left" vertical="center" wrapText="1" indent="1"/>
    </xf>
    <xf numFmtId="0" fontId="2" fillId="0" borderId="29" xfId="2" applyFont="1" applyFill="1" applyBorder="1" applyAlignment="1">
      <alignment horizontal="left" vertical="center" wrapText="1" indent="1"/>
    </xf>
    <xf numFmtId="0" fontId="2" fillId="0" borderId="30" xfId="2" applyFont="1" applyFill="1" applyBorder="1" applyAlignment="1">
      <alignment horizontal="left" vertical="center" wrapText="1" indent="1"/>
    </xf>
    <xf numFmtId="0" fontId="2" fillId="10" borderId="60" xfId="2" applyFill="1" applyBorder="1" applyAlignment="1">
      <alignment horizontal="left" indent="5"/>
    </xf>
    <xf numFmtId="0" fontId="2" fillId="10" borderId="61" xfId="2" applyFill="1" applyBorder="1" applyAlignment="1">
      <alignment horizontal="left" indent="5"/>
    </xf>
    <xf numFmtId="0" fontId="2" fillId="10" borderId="62" xfId="2" applyFill="1" applyBorder="1" applyAlignment="1">
      <alignment horizontal="left" indent="5"/>
    </xf>
    <xf numFmtId="0" fontId="2" fillId="10" borderId="63" xfId="2" applyFill="1" applyBorder="1" applyAlignment="1">
      <alignment horizontal="left" indent="7"/>
    </xf>
    <xf numFmtId="0" fontId="2" fillId="10" borderId="0" xfId="2" applyFill="1" applyBorder="1" applyAlignment="1">
      <alignment horizontal="left" indent="7"/>
    </xf>
    <xf numFmtId="0" fontId="2" fillId="10" borderId="64" xfId="2" applyFill="1" applyBorder="1" applyAlignment="1">
      <alignment horizontal="left" indent="7"/>
    </xf>
    <xf numFmtId="0" fontId="2" fillId="0" borderId="25" xfId="2" applyFont="1" applyFill="1" applyBorder="1" applyAlignment="1">
      <alignment horizontal="left" vertical="center" wrapText="1" indent="1"/>
    </xf>
    <xf numFmtId="0" fontId="2" fillId="0" borderId="26" xfId="2" applyFont="1" applyFill="1" applyBorder="1" applyAlignment="1">
      <alignment horizontal="left" vertical="center" wrapText="1" indent="1"/>
    </xf>
    <xf numFmtId="0" fontId="2" fillId="0" borderId="27" xfId="2" applyFont="1" applyFill="1" applyBorder="1" applyAlignment="1">
      <alignment horizontal="left" vertical="center" wrapText="1" indent="1"/>
    </xf>
    <xf numFmtId="0" fontId="8" fillId="18" borderId="28" xfId="2" applyFont="1" applyFill="1" applyBorder="1" applyAlignment="1" applyProtection="1">
      <alignment horizontal="center" vertical="center"/>
      <protection hidden="1"/>
    </xf>
    <xf numFmtId="0" fontId="8" fillId="18" borderId="30" xfId="2" applyFont="1" applyFill="1" applyBorder="1" applyAlignment="1" applyProtection="1">
      <alignment horizontal="center" vertical="center"/>
      <protection hidden="1"/>
    </xf>
    <xf numFmtId="0" fontId="2" fillId="10" borderId="25" xfId="2" applyFill="1" applyBorder="1" applyAlignment="1">
      <alignment horizontal="left" indent="7"/>
    </xf>
    <xf numFmtId="0" fontId="2" fillId="10" borderId="26" xfId="2" applyFill="1" applyBorder="1" applyAlignment="1">
      <alignment horizontal="left" indent="7"/>
    </xf>
    <xf numFmtId="0" fontId="2" fillId="10" borderId="27" xfId="2" applyFill="1" applyBorder="1" applyAlignment="1">
      <alignment horizontal="left" indent="7"/>
    </xf>
    <xf numFmtId="0" fontId="21" fillId="26" borderId="0" xfId="2" applyFont="1" applyFill="1" applyAlignment="1">
      <alignment horizontal="left" vertical="center" wrapText="1" indent="5"/>
    </xf>
    <xf numFmtId="0" fontId="13" fillId="21" borderId="10" xfId="0" applyFont="1" applyFill="1" applyBorder="1" applyAlignment="1" applyProtection="1">
      <alignment horizontal="left" vertical="center" wrapText="1" indent="1"/>
      <protection hidden="1"/>
    </xf>
    <xf numFmtId="0" fontId="13" fillId="21" borderId="7" xfId="0" applyFont="1" applyFill="1" applyBorder="1" applyAlignment="1" applyProtection="1">
      <alignment horizontal="left" vertical="center" wrapText="1" indent="1"/>
      <protection hidden="1"/>
    </xf>
    <xf numFmtId="0" fontId="142" fillId="26" borderId="38" xfId="2" applyFont="1" applyFill="1" applyBorder="1" applyAlignment="1" applyProtection="1">
      <alignment horizontal="center" vertical="center" wrapText="1"/>
      <protection hidden="1"/>
    </xf>
    <xf numFmtId="0" fontId="142" fillId="26" borderId="0" xfId="2" applyFont="1" applyFill="1" applyBorder="1" applyAlignment="1" applyProtection="1">
      <alignment horizontal="center" vertical="center" wrapText="1"/>
      <protection hidden="1"/>
    </xf>
    <xf numFmtId="0" fontId="17" fillId="21" borderId="10" xfId="0" applyFont="1" applyFill="1" applyBorder="1" applyAlignment="1" applyProtection="1">
      <alignment horizontal="center" vertical="center"/>
      <protection hidden="1"/>
    </xf>
    <xf numFmtId="0" fontId="17" fillId="21" borderId="7" xfId="0" applyFont="1" applyFill="1" applyBorder="1" applyAlignment="1" applyProtection="1">
      <alignment horizontal="center" vertical="center"/>
      <protection hidden="1"/>
    </xf>
    <xf numFmtId="0" fontId="17" fillId="21" borderId="8" xfId="0" applyFont="1" applyFill="1" applyBorder="1" applyAlignment="1" applyProtection="1">
      <alignment horizontal="center" vertical="center"/>
      <protection hidden="1"/>
    </xf>
    <xf numFmtId="0" fontId="2" fillId="4" borderId="10" xfId="0" applyFont="1" applyFill="1" applyBorder="1" applyAlignment="1" applyProtection="1">
      <alignment horizontal="left" vertical="center" wrapText="1"/>
      <protection hidden="1"/>
    </xf>
    <xf numFmtId="0" fontId="2" fillId="4" borderId="7" xfId="0" applyFont="1" applyFill="1" applyBorder="1" applyAlignment="1" applyProtection="1">
      <alignment horizontal="left" vertical="center" wrapText="1"/>
      <protection hidden="1"/>
    </xf>
    <xf numFmtId="0" fontId="2" fillId="4" borderId="8" xfId="0" applyFont="1" applyFill="1" applyBorder="1" applyAlignment="1" applyProtection="1">
      <alignment horizontal="left" vertical="center" wrapText="1"/>
      <protection hidden="1"/>
    </xf>
    <xf numFmtId="0" fontId="2" fillId="4" borderId="10" xfId="0" applyFont="1" applyFill="1" applyBorder="1" applyAlignment="1" applyProtection="1">
      <alignment vertical="center" wrapText="1"/>
      <protection hidden="1"/>
    </xf>
    <xf numFmtId="0" fontId="2" fillId="4" borderId="7" xfId="0" applyFont="1" applyFill="1" applyBorder="1" applyAlignment="1" applyProtection="1">
      <alignment vertical="center" wrapText="1"/>
      <protection hidden="1"/>
    </xf>
    <xf numFmtId="0" fontId="2" fillId="4" borderId="8" xfId="0" applyFont="1" applyFill="1" applyBorder="1" applyAlignment="1" applyProtection="1">
      <alignment vertical="center" wrapText="1"/>
      <protection hidden="1"/>
    </xf>
    <xf numFmtId="0" fontId="2" fillId="10" borderId="63" xfId="2" quotePrefix="1" applyFont="1" applyFill="1" applyBorder="1" applyAlignment="1" applyProtection="1">
      <alignment horizontal="left" vertical="center" indent="7"/>
      <protection hidden="1"/>
    </xf>
    <xf numFmtId="0" fontId="2" fillId="10" borderId="0" xfId="2" quotePrefix="1" applyFont="1" applyFill="1" applyBorder="1" applyAlignment="1" applyProtection="1">
      <alignment horizontal="left" vertical="center" indent="7"/>
      <protection hidden="1"/>
    </xf>
    <xf numFmtId="0" fontId="2" fillId="10" borderId="64" xfId="2" quotePrefix="1" applyFont="1" applyFill="1" applyBorder="1" applyAlignment="1" applyProtection="1">
      <alignment horizontal="left" vertical="center" indent="7"/>
      <protection hidden="1"/>
    </xf>
    <xf numFmtId="0" fontId="2" fillId="10" borderId="60" xfId="2" applyFont="1" applyFill="1" applyBorder="1" applyAlignment="1" applyProtection="1">
      <alignment horizontal="left" wrapText="1" indent="7"/>
      <protection hidden="1"/>
    </xf>
    <xf numFmtId="0" fontId="2" fillId="10" borderId="61" xfId="2" applyFont="1" applyFill="1" applyBorder="1" applyAlignment="1" applyProtection="1">
      <alignment horizontal="left" wrapText="1" indent="7"/>
      <protection hidden="1"/>
    </xf>
    <xf numFmtId="0" fontId="2" fillId="10" borderId="62" xfId="2" applyFont="1" applyFill="1" applyBorder="1" applyAlignment="1" applyProtection="1">
      <alignment horizontal="left" wrapText="1" indent="7"/>
      <protection hidden="1"/>
    </xf>
    <xf numFmtId="0" fontId="2" fillId="10" borderId="25" xfId="2" applyFont="1" applyFill="1" applyBorder="1" applyAlignment="1" applyProtection="1">
      <alignment horizontal="left" vertical="center" wrapText="1" indent="7"/>
      <protection hidden="1"/>
    </xf>
    <xf numFmtId="0" fontId="2" fillId="10" borderId="26" xfId="2" applyFont="1" applyFill="1" applyBorder="1" applyAlignment="1" applyProtection="1">
      <alignment horizontal="left" vertical="center" wrapText="1" indent="7"/>
      <protection hidden="1"/>
    </xf>
    <xf numFmtId="0" fontId="2" fillId="10" borderId="27" xfId="2" applyFont="1" applyFill="1" applyBorder="1" applyAlignment="1" applyProtection="1">
      <alignment horizontal="left" vertical="center" wrapText="1" indent="7"/>
      <protection hidden="1"/>
    </xf>
    <xf numFmtId="0" fontId="22" fillId="11" borderId="67" xfId="2" applyFont="1" applyFill="1" applyBorder="1" applyAlignment="1" applyProtection="1">
      <alignment horizontal="center" vertical="center"/>
      <protection hidden="1"/>
    </xf>
    <xf numFmtId="0" fontId="22" fillId="11" borderId="66" xfId="2" applyFont="1" applyFill="1" applyBorder="1" applyAlignment="1" applyProtection="1">
      <alignment horizontal="center" vertical="center"/>
      <protection hidden="1"/>
    </xf>
    <xf numFmtId="0" fontId="22" fillId="11" borderId="1" xfId="2" applyFont="1" applyFill="1" applyBorder="1" applyAlignment="1" applyProtection="1">
      <alignment horizontal="center" vertical="center"/>
      <protection hidden="1"/>
    </xf>
    <xf numFmtId="0" fontId="22" fillId="36" borderId="20" xfId="2" applyFont="1" applyFill="1" applyBorder="1" applyAlignment="1">
      <alignment horizontal="left" vertical="center" wrapText="1" indent="1"/>
    </xf>
    <xf numFmtId="0" fontId="22" fillId="36" borderId="24" xfId="2" applyFont="1" applyFill="1" applyBorder="1" applyAlignment="1">
      <alignment horizontal="left" vertical="center" wrapText="1" indent="1"/>
    </xf>
    <xf numFmtId="0" fontId="22" fillId="36" borderId="21" xfId="2" applyFont="1" applyFill="1" applyBorder="1" applyAlignment="1">
      <alignment horizontal="left" vertical="center" wrapText="1" indent="1"/>
    </xf>
    <xf numFmtId="0" fontId="2" fillId="11" borderId="71" xfId="2" applyFont="1" applyFill="1" applyBorder="1" applyAlignment="1">
      <alignment horizontal="left" vertical="center" wrapText="1" indent="1"/>
    </xf>
    <xf numFmtId="0" fontId="2" fillId="11" borderId="0" xfId="2" applyFont="1" applyFill="1" applyBorder="1" applyAlignment="1">
      <alignment horizontal="left" vertical="center" wrapText="1" indent="1"/>
    </xf>
    <xf numFmtId="0" fontId="2" fillId="11" borderId="72" xfId="2" applyFont="1" applyFill="1" applyBorder="1" applyAlignment="1">
      <alignment horizontal="left" vertical="center" wrapText="1" indent="1"/>
    </xf>
    <xf numFmtId="0" fontId="8" fillId="18" borderId="28" xfId="2" applyFont="1" applyFill="1" applyBorder="1" applyAlignment="1" applyProtection="1">
      <alignment horizontal="center"/>
      <protection hidden="1"/>
    </xf>
    <xf numFmtId="0" fontId="8" fillId="18" borderId="30" xfId="2" applyFont="1" applyFill="1" applyBorder="1" applyAlignment="1" applyProtection="1">
      <alignment horizontal="center"/>
      <protection hidden="1"/>
    </xf>
    <xf numFmtId="0" fontId="2" fillId="11" borderId="73" xfId="2" applyFont="1" applyFill="1" applyBorder="1" applyAlignment="1">
      <alignment horizontal="left" vertical="center" wrapText="1" indent="1"/>
    </xf>
    <xf numFmtId="0" fontId="2" fillId="11" borderId="6" xfId="2" applyFont="1" applyFill="1" applyBorder="1" applyAlignment="1">
      <alignment horizontal="left" vertical="center" wrapText="1" indent="1"/>
    </xf>
    <xf numFmtId="0" fontId="2" fillId="11" borderId="74" xfId="2" applyFont="1" applyFill="1" applyBorder="1" applyAlignment="1">
      <alignment horizontal="left" vertical="center" wrapText="1" indent="1"/>
    </xf>
    <xf numFmtId="0" fontId="17" fillId="21" borderId="65" xfId="0" applyFont="1" applyFill="1" applyBorder="1" applyAlignment="1" applyProtection="1">
      <alignment horizontal="center" vertical="center"/>
      <protection hidden="1"/>
    </xf>
    <xf numFmtId="0" fontId="22" fillId="11" borderId="5" xfId="2" applyFont="1" applyFill="1" applyBorder="1" applyAlignment="1" applyProtection="1">
      <alignment horizontal="center" vertical="center"/>
      <protection hidden="1"/>
    </xf>
    <xf numFmtId="0" fontId="20" fillId="21" borderId="28" xfId="2" applyFont="1" applyFill="1" applyBorder="1" applyAlignment="1" applyProtection="1">
      <alignment horizontal="left" vertical="center" wrapText="1"/>
      <protection hidden="1"/>
    </xf>
    <xf numFmtId="0" fontId="20" fillId="21" borderId="29" xfId="2" applyFont="1" applyFill="1" applyBorder="1" applyAlignment="1" applyProtection="1">
      <alignment horizontal="left" vertical="center" wrapText="1"/>
      <protection hidden="1"/>
    </xf>
    <xf numFmtId="0" fontId="2" fillId="11" borderId="5" xfId="2" applyFont="1" applyFill="1" applyBorder="1" applyAlignment="1">
      <alignment horizontal="left" vertical="center" wrapText="1" indent="1"/>
    </xf>
    <xf numFmtId="0" fontId="22" fillId="11" borderId="5" xfId="2" applyFont="1" applyFill="1" applyBorder="1" applyAlignment="1">
      <alignment horizontal="left" vertical="center" wrapText="1" indent="1"/>
    </xf>
    <xf numFmtId="0" fontId="2" fillId="0" borderId="20" xfId="2" applyFont="1" applyFill="1" applyBorder="1" applyAlignment="1">
      <alignment horizontal="left" vertical="center" wrapText="1" indent="1"/>
    </xf>
    <xf numFmtId="0" fontId="22" fillId="0" borderId="24" xfId="2" applyFont="1" applyFill="1" applyBorder="1" applyAlignment="1">
      <alignment horizontal="left" vertical="center" wrapText="1" indent="1"/>
    </xf>
    <xf numFmtId="0" fontId="22" fillId="26" borderId="20" xfId="2" applyFont="1" applyFill="1" applyBorder="1" applyAlignment="1">
      <alignment horizontal="left" vertical="center" wrapText="1" indent="1"/>
    </xf>
    <xf numFmtId="0" fontId="22" fillId="26" borderId="24" xfId="2" applyFont="1" applyFill="1" applyBorder="1" applyAlignment="1">
      <alignment horizontal="left" vertical="center" wrapText="1" indent="1"/>
    </xf>
    <xf numFmtId="0" fontId="22" fillId="26" borderId="21" xfId="2" applyFont="1" applyFill="1" applyBorder="1" applyAlignment="1">
      <alignment horizontal="left" vertical="center" wrapText="1" indent="1"/>
    </xf>
    <xf numFmtId="0" fontId="22" fillId="11" borderId="71" xfId="2" quotePrefix="1" applyFont="1" applyFill="1" applyBorder="1" applyAlignment="1">
      <alignment horizontal="left" vertical="center" wrapText="1" indent="1"/>
    </xf>
    <xf numFmtId="0" fontId="22" fillId="11" borderId="0" xfId="2" applyFont="1" applyFill="1" applyBorder="1" applyAlignment="1">
      <alignment horizontal="left" vertical="center" wrapText="1" indent="1"/>
    </xf>
    <xf numFmtId="0" fontId="22" fillId="11" borderId="72" xfId="2" applyFont="1" applyFill="1" applyBorder="1" applyAlignment="1">
      <alignment horizontal="left" vertical="center" wrapText="1" indent="1"/>
    </xf>
    <xf numFmtId="0" fontId="22" fillId="10" borderId="25" xfId="2" applyFont="1" applyFill="1" applyBorder="1" applyAlignment="1">
      <alignment horizontal="left" vertical="center" wrapText="1" indent="1"/>
    </xf>
    <xf numFmtId="0" fontId="22" fillId="10" borderId="26" xfId="2" applyFont="1" applyFill="1" applyBorder="1" applyAlignment="1">
      <alignment horizontal="left" vertical="center" wrapText="1" indent="1"/>
    </xf>
    <xf numFmtId="0" fontId="22" fillId="10" borderId="27" xfId="2" applyFont="1" applyFill="1" applyBorder="1" applyAlignment="1">
      <alignment horizontal="left" vertical="center" wrapText="1" indent="1"/>
    </xf>
    <xf numFmtId="0" fontId="2" fillId="10" borderId="69" xfId="2" applyFill="1" applyBorder="1" applyAlignment="1">
      <alignment horizontal="left" vertical="center" wrapText="1" indent="6"/>
    </xf>
    <xf numFmtId="0" fontId="2" fillId="10" borderId="68" xfId="2" applyFill="1" applyBorder="1" applyAlignment="1">
      <alignment horizontal="left" vertical="center" wrapText="1" indent="6"/>
    </xf>
    <xf numFmtId="0" fontId="2" fillId="10" borderId="70" xfId="2" applyFill="1" applyBorder="1" applyAlignment="1">
      <alignment horizontal="left" vertical="center" wrapText="1" indent="6"/>
    </xf>
    <xf numFmtId="0" fontId="2" fillId="10" borderId="71" xfId="2" applyFill="1" applyBorder="1" applyAlignment="1">
      <alignment horizontal="left" vertical="center" indent="7"/>
    </xf>
    <xf numFmtId="0" fontId="2" fillId="10" borderId="0" xfId="2" applyFill="1" applyBorder="1" applyAlignment="1">
      <alignment horizontal="left" vertical="center" indent="7"/>
    </xf>
    <xf numFmtId="0" fontId="2" fillId="10" borderId="72" xfId="2" applyFill="1" applyBorder="1" applyAlignment="1">
      <alignment horizontal="left" vertical="center" indent="7"/>
    </xf>
    <xf numFmtId="0" fontId="2" fillId="10" borderId="73" xfId="2" applyFill="1" applyBorder="1" applyAlignment="1">
      <alignment horizontal="left" vertical="center" indent="7"/>
    </xf>
    <xf numFmtId="0" fontId="2" fillId="10" borderId="6" xfId="2" applyFill="1" applyBorder="1" applyAlignment="1">
      <alignment horizontal="left" vertical="center" indent="7"/>
    </xf>
    <xf numFmtId="0" fontId="2" fillId="10" borderId="74" xfId="2" applyFill="1" applyBorder="1" applyAlignment="1">
      <alignment horizontal="left" vertical="center" indent="7"/>
    </xf>
    <xf numFmtId="0" fontId="2" fillId="26" borderId="0" xfId="2" applyFill="1" applyBorder="1" applyAlignment="1" applyProtection="1">
      <alignment horizontal="center"/>
      <protection hidden="1"/>
    </xf>
    <xf numFmtId="0" fontId="22" fillId="10" borderId="29" xfId="2" applyFont="1" applyFill="1" applyBorder="1" applyAlignment="1">
      <alignment horizontal="left" vertical="center" wrapText="1" indent="1"/>
    </xf>
    <xf numFmtId="0" fontId="22" fillId="10" borderId="30" xfId="2" applyFont="1" applyFill="1" applyBorder="1" applyAlignment="1">
      <alignment horizontal="left" vertical="center" wrapText="1" indent="1"/>
    </xf>
    <xf numFmtId="0" fontId="21" fillId="26" borderId="0" xfId="2" applyFont="1" applyFill="1" applyAlignment="1" applyProtection="1">
      <alignment horizontal="center" vertical="center"/>
      <protection hidden="1"/>
    </xf>
    <xf numFmtId="0" fontId="2" fillId="10" borderId="71" xfId="0" applyFont="1" applyFill="1" applyBorder="1" applyAlignment="1" applyProtection="1">
      <alignment horizontal="left" vertical="center" wrapText="1" indent="7"/>
      <protection hidden="1"/>
    </xf>
    <xf numFmtId="0" fontId="2" fillId="10" borderId="0" xfId="0" applyFont="1" applyFill="1" applyBorder="1" applyAlignment="1" applyProtection="1">
      <alignment horizontal="left" vertical="center" wrapText="1" indent="7"/>
      <protection hidden="1"/>
    </xf>
    <xf numFmtId="0" fontId="2" fillId="10" borderId="72" xfId="0" applyFont="1" applyFill="1" applyBorder="1" applyAlignment="1" applyProtection="1">
      <alignment horizontal="left" vertical="center" wrapText="1" indent="7"/>
      <protection hidden="1"/>
    </xf>
    <xf numFmtId="0" fontId="2" fillId="10" borderId="69" xfId="0" applyFont="1" applyFill="1" applyBorder="1" applyAlignment="1" applyProtection="1">
      <alignment horizontal="left" vertical="center" indent="6"/>
      <protection hidden="1"/>
    </xf>
    <xf numFmtId="0" fontId="2" fillId="10" borderId="68" xfId="0" applyFont="1" applyFill="1" applyBorder="1" applyAlignment="1" applyProtection="1">
      <alignment horizontal="left" vertical="center" indent="6"/>
      <protection hidden="1"/>
    </xf>
    <xf numFmtId="0" fontId="2" fillId="10" borderId="70" xfId="0" applyFont="1" applyFill="1" applyBorder="1" applyAlignment="1" applyProtection="1">
      <alignment horizontal="left" vertical="center" indent="6"/>
      <protection hidden="1"/>
    </xf>
    <xf numFmtId="0" fontId="2" fillId="10" borderId="71" xfId="0" applyFont="1" applyFill="1" applyBorder="1" applyAlignment="1" applyProtection="1">
      <alignment horizontal="left" vertical="center" indent="7"/>
      <protection hidden="1"/>
    </xf>
    <xf numFmtId="0" fontId="2" fillId="10" borderId="0" xfId="0" applyFont="1" applyFill="1" applyBorder="1" applyAlignment="1" applyProtection="1">
      <alignment horizontal="left" vertical="center" indent="7"/>
      <protection hidden="1"/>
    </xf>
    <xf numFmtId="0" fontId="2" fillId="10" borderId="72" xfId="0" applyFont="1" applyFill="1" applyBorder="1" applyAlignment="1" applyProtection="1">
      <alignment horizontal="left" vertical="center" indent="7"/>
      <protection hidden="1"/>
    </xf>
    <xf numFmtId="0" fontId="2" fillId="10" borderId="73" xfId="0" applyFont="1" applyFill="1" applyBorder="1" applyAlignment="1" applyProtection="1">
      <alignment horizontal="left" vertical="center" indent="7"/>
      <protection hidden="1"/>
    </xf>
    <xf numFmtId="0" fontId="2" fillId="10" borderId="6" xfId="0" applyFont="1" applyFill="1" applyBorder="1" applyAlignment="1" applyProtection="1">
      <alignment horizontal="left" vertical="center" indent="7"/>
      <protection hidden="1"/>
    </xf>
    <xf numFmtId="0" fontId="2" fillId="10" borderId="74" xfId="0" applyFont="1" applyFill="1" applyBorder="1" applyAlignment="1" applyProtection="1">
      <alignment horizontal="left" vertical="center" indent="7"/>
      <protection hidden="1"/>
    </xf>
    <xf numFmtId="0" fontId="14" fillId="20" borderId="10" xfId="0" applyFont="1" applyFill="1" applyBorder="1" applyAlignment="1" applyProtection="1">
      <alignment horizontal="center" vertical="center" wrapText="1"/>
      <protection locked="0"/>
    </xf>
    <xf numFmtId="0" fontId="14" fillId="20" borderId="7" xfId="0" applyFont="1" applyFill="1" applyBorder="1" applyAlignment="1" applyProtection="1">
      <alignment horizontal="center" vertical="center" wrapText="1"/>
      <protection locked="0"/>
    </xf>
    <xf numFmtId="0" fontId="2" fillId="2" borderId="0" xfId="2" applyFont="1" applyFill="1" applyBorder="1" applyAlignment="1" applyProtection="1">
      <alignment horizontal="left" vertical="center" wrapText="1" indent="6"/>
      <protection hidden="1"/>
    </xf>
    <xf numFmtId="0" fontId="173" fillId="2" borderId="0" xfId="2" applyFont="1" applyFill="1" applyBorder="1" applyAlignment="1" applyProtection="1">
      <alignment horizontal="center"/>
      <protection hidden="1"/>
    </xf>
    <xf numFmtId="0" fontId="2" fillId="10" borderId="60" xfId="2" applyFont="1" applyFill="1" applyBorder="1" applyAlignment="1" applyProtection="1">
      <alignment horizontal="left" vertical="center" wrapText="1" indent="7"/>
      <protection hidden="1"/>
    </xf>
    <xf numFmtId="0" fontId="2" fillId="10" borderId="61" xfId="2" applyFont="1" applyFill="1" applyBorder="1" applyAlignment="1" applyProtection="1">
      <alignment horizontal="left" vertical="center" wrapText="1" indent="7"/>
      <protection hidden="1"/>
    </xf>
    <xf numFmtId="0" fontId="2" fillId="10" borderId="62" xfId="2" applyFont="1" applyFill="1" applyBorder="1" applyAlignment="1" applyProtection="1">
      <alignment horizontal="left" vertical="center" wrapText="1" indent="7"/>
      <protection hidden="1"/>
    </xf>
    <xf numFmtId="0" fontId="2" fillId="10" borderId="63" xfId="2" applyFont="1" applyFill="1" applyBorder="1" applyAlignment="1" applyProtection="1">
      <alignment horizontal="left" vertical="center" wrapText="1" indent="7"/>
      <protection hidden="1"/>
    </xf>
    <xf numFmtId="0" fontId="2" fillId="10" borderId="0" xfId="2" applyFont="1" applyFill="1" applyBorder="1" applyAlignment="1" applyProtection="1">
      <alignment horizontal="left" vertical="center" wrapText="1" indent="7"/>
      <protection hidden="1"/>
    </xf>
    <xf numFmtId="0" fontId="2" fillId="10" borderId="64" xfId="2" applyFont="1" applyFill="1" applyBorder="1" applyAlignment="1" applyProtection="1">
      <alignment horizontal="left" vertical="center" wrapText="1" indent="7"/>
      <protection hidden="1"/>
    </xf>
    <xf numFmtId="0" fontId="22" fillId="10" borderId="28" xfId="2" applyFont="1" applyFill="1" applyBorder="1" applyAlignment="1" applyProtection="1">
      <alignment horizontal="left" vertical="center" wrapText="1" indent="1"/>
      <protection hidden="1"/>
    </xf>
    <xf numFmtId="0" fontId="22" fillId="10" borderId="29" xfId="2" applyFont="1" applyFill="1" applyBorder="1" applyAlignment="1" applyProtection="1">
      <alignment horizontal="left" vertical="center" wrapText="1" indent="1"/>
      <protection hidden="1"/>
    </xf>
    <xf numFmtId="0" fontId="22" fillId="10" borderId="30" xfId="2" applyFont="1" applyFill="1" applyBorder="1" applyAlignment="1" applyProtection="1">
      <alignment horizontal="left" vertical="center" wrapText="1" indent="1"/>
      <protection hidden="1"/>
    </xf>
    <xf numFmtId="0" fontId="2" fillId="10" borderId="25" xfId="2" applyFill="1" applyBorder="1" applyAlignment="1" applyProtection="1">
      <alignment horizontal="left" vertical="center" wrapText="1" indent="7"/>
      <protection hidden="1"/>
    </xf>
    <xf numFmtId="0" fontId="2" fillId="10" borderId="26" xfId="2" applyFill="1" applyBorder="1" applyAlignment="1" applyProtection="1">
      <alignment horizontal="left" vertical="center" wrapText="1" indent="7"/>
      <protection hidden="1"/>
    </xf>
    <xf numFmtId="0" fontId="2" fillId="10" borderId="27" xfId="2" applyFill="1" applyBorder="1" applyAlignment="1" applyProtection="1">
      <alignment horizontal="left" vertical="center" wrapText="1" indent="7"/>
      <protection hidden="1"/>
    </xf>
    <xf numFmtId="0" fontId="2" fillId="10" borderId="63" xfId="2" applyFill="1" applyBorder="1" applyAlignment="1" applyProtection="1">
      <alignment horizontal="left" indent="7"/>
      <protection hidden="1"/>
    </xf>
    <xf numFmtId="0" fontId="2" fillId="10" borderId="0" xfId="2" applyFill="1" applyBorder="1" applyAlignment="1" applyProtection="1">
      <alignment horizontal="left" indent="7"/>
      <protection hidden="1"/>
    </xf>
    <xf numFmtId="0" fontId="2" fillId="10" borderId="64" xfId="2" applyFill="1" applyBorder="1" applyAlignment="1" applyProtection="1">
      <alignment horizontal="left" indent="7"/>
      <protection hidden="1"/>
    </xf>
    <xf numFmtId="0" fontId="2" fillId="10" borderId="63" xfId="2" quotePrefix="1" applyFill="1" applyBorder="1" applyAlignment="1" applyProtection="1">
      <alignment horizontal="left" indent="8"/>
      <protection hidden="1"/>
    </xf>
    <xf numFmtId="0" fontId="2" fillId="10" borderId="0" xfId="2" applyFill="1" applyBorder="1" applyAlignment="1" applyProtection="1">
      <alignment horizontal="left" indent="8"/>
      <protection hidden="1"/>
    </xf>
    <xf numFmtId="0" fontId="2" fillId="10" borderId="64" xfId="2" applyFill="1" applyBorder="1" applyAlignment="1" applyProtection="1">
      <alignment horizontal="left" indent="8"/>
      <protection hidden="1"/>
    </xf>
    <xf numFmtId="0" fontId="2" fillId="10" borderId="25" xfId="2" applyFill="1" applyBorder="1" applyAlignment="1" applyProtection="1">
      <alignment horizontal="left" wrapText="1" indent="7"/>
      <protection hidden="1"/>
    </xf>
    <xf numFmtId="0" fontId="2" fillId="10" borderId="26" xfId="2" applyFill="1" applyBorder="1" applyAlignment="1" applyProtection="1">
      <alignment horizontal="left" wrapText="1" indent="7"/>
      <protection hidden="1"/>
    </xf>
    <xf numFmtId="0" fontId="2" fillId="10" borderId="27" xfId="2" applyFill="1" applyBorder="1" applyAlignment="1" applyProtection="1">
      <alignment horizontal="left" wrapText="1" indent="7"/>
      <protection hidden="1"/>
    </xf>
    <xf numFmtId="0" fontId="2" fillId="10" borderId="60" xfId="2" applyFill="1" applyBorder="1" applyAlignment="1" applyProtection="1">
      <alignment horizontal="left" indent="7"/>
      <protection hidden="1"/>
    </xf>
    <xf numFmtId="0" fontId="2" fillId="10" borderId="61" xfId="2" applyFill="1" applyBorder="1" applyAlignment="1" applyProtection="1">
      <alignment horizontal="left" indent="7"/>
      <protection hidden="1"/>
    </xf>
    <xf numFmtId="0" fontId="2" fillId="10" borderId="62" xfId="2" applyFill="1" applyBorder="1" applyAlignment="1" applyProtection="1">
      <alignment horizontal="left" indent="7"/>
      <protection hidden="1"/>
    </xf>
    <xf numFmtId="0" fontId="2" fillId="11" borderId="25" xfId="2" applyFont="1" applyFill="1" applyBorder="1" applyAlignment="1" applyProtection="1">
      <alignment horizontal="left" vertical="center" wrapText="1" indent="1"/>
      <protection hidden="1"/>
    </xf>
    <xf numFmtId="0" fontId="2" fillId="11" borderId="26" xfId="2" applyFont="1" applyFill="1" applyBorder="1" applyAlignment="1" applyProtection="1">
      <alignment horizontal="left" vertical="center" wrapText="1" indent="1"/>
      <protection hidden="1"/>
    </xf>
    <xf numFmtId="0" fontId="2" fillId="11" borderId="27" xfId="2" applyFont="1" applyFill="1" applyBorder="1" applyAlignment="1" applyProtection="1">
      <alignment horizontal="left" vertical="center" wrapText="1" indent="1"/>
      <protection hidden="1"/>
    </xf>
    <xf numFmtId="0" fontId="14" fillId="15" borderId="4" xfId="0" applyFont="1" applyFill="1" applyBorder="1" applyAlignment="1">
      <alignment horizontal="left" vertical="center" wrapText="1" indent="1"/>
    </xf>
    <xf numFmtId="0" fontId="11" fillId="21" borderId="10" xfId="0" applyFont="1" applyFill="1" applyBorder="1" applyAlignment="1" applyProtection="1">
      <alignment horizontal="center" vertical="center"/>
      <protection hidden="1"/>
    </xf>
    <xf numFmtId="0" fontId="11" fillId="21" borderId="8" xfId="0" applyFont="1" applyFill="1" applyBorder="1" applyAlignment="1" applyProtection="1">
      <alignment horizontal="center" vertical="center"/>
      <protection hidden="1"/>
    </xf>
    <xf numFmtId="0" fontId="11" fillId="21" borderId="4" xfId="0" applyFont="1" applyFill="1" applyBorder="1" applyAlignment="1" applyProtection="1">
      <alignment horizontal="center" vertical="center"/>
      <protection hidden="1"/>
    </xf>
    <xf numFmtId="0" fontId="2" fillId="10" borderId="69" xfId="2" applyFill="1" applyBorder="1" applyAlignment="1" applyProtection="1">
      <alignment horizontal="left" vertical="center" wrapText="1" indent="5"/>
      <protection hidden="1"/>
    </xf>
    <xf numFmtId="0" fontId="2" fillId="10" borderId="68" xfId="2" applyFill="1" applyBorder="1" applyAlignment="1" applyProtection="1">
      <alignment horizontal="left" vertical="center" wrapText="1" indent="5"/>
      <protection hidden="1"/>
    </xf>
    <xf numFmtId="0" fontId="2" fillId="10" borderId="70" xfId="2" applyFill="1" applyBorder="1" applyAlignment="1" applyProtection="1">
      <alignment horizontal="left" vertical="center" wrapText="1" indent="5"/>
      <protection hidden="1"/>
    </xf>
    <xf numFmtId="0" fontId="2" fillId="10" borderId="73" xfId="2" applyFill="1" applyBorder="1" applyAlignment="1" applyProtection="1">
      <alignment horizontal="left" vertical="center" wrapText="1" indent="5"/>
      <protection hidden="1"/>
    </xf>
    <xf numFmtId="0" fontId="2" fillId="10" borderId="6" xfId="2" applyFill="1" applyBorder="1" applyAlignment="1" applyProtection="1">
      <alignment horizontal="left" vertical="center" wrapText="1" indent="5"/>
      <protection hidden="1"/>
    </xf>
    <xf numFmtId="0" fontId="2" fillId="10" borderId="74" xfId="2" applyFill="1" applyBorder="1" applyAlignment="1" applyProtection="1">
      <alignment horizontal="left" vertical="center" wrapText="1" indent="5"/>
      <protection hidden="1"/>
    </xf>
    <xf numFmtId="0" fontId="49" fillId="21" borderId="4" xfId="0" applyFont="1" applyFill="1" applyBorder="1" applyAlignment="1">
      <alignment horizontal="left" vertical="center" wrapText="1" indent="1"/>
    </xf>
    <xf numFmtId="0" fontId="21" fillId="26" borderId="0" xfId="2" applyFont="1" applyFill="1" applyBorder="1" applyAlignment="1" applyProtection="1">
      <alignment horizontal="left" vertical="center" wrapText="1" indent="5"/>
      <protection hidden="1"/>
    </xf>
    <xf numFmtId="0" fontId="14" fillId="15" borderId="4" xfId="0" applyFont="1" applyFill="1" applyBorder="1" applyAlignment="1" applyProtection="1">
      <alignment horizontal="left" vertical="center" wrapText="1"/>
      <protection hidden="1"/>
    </xf>
    <xf numFmtId="0" fontId="49" fillId="21" borderId="4" xfId="0" applyFont="1" applyFill="1" applyBorder="1" applyAlignment="1" applyProtection="1">
      <alignment horizontal="left" vertical="center" wrapText="1"/>
      <protection hidden="1"/>
    </xf>
    <xf numFmtId="0" fontId="2" fillId="0" borderId="28" xfId="2" applyFont="1" applyFill="1" applyBorder="1" applyAlignment="1" applyProtection="1">
      <alignment horizontal="left" vertical="center" wrapText="1"/>
      <protection hidden="1"/>
    </xf>
    <xf numFmtId="0" fontId="2" fillId="0" borderId="29" xfId="2" applyFont="1" applyFill="1" applyBorder="1" applyAlignment="1" applyProtection="1">
      <alignment horizontal="left" vertical="center" wrapText="1"/>
      <protection hidden="1"/>
    </xf>
    <xf numFmtId="0" fontId="2" fillId="0" borderId="30" xfId="2" applyFont="1" applyFill="1" applyBorder="1" applyAlignment="1" applyProtection="1">
      <alignment horizontal="left" vertical="center" wrapText="1"/>
      <protection hidden="1"/>
    </xf>
    <xf numFmtId="0" fontId="2" fillId="10" borderId="4" xfId="0" applyFont="1" applyFill="1" applyBorder="1" applyAlignment="1" applyProtection="1">
      <alignment horizontal="left" vertical="center" wrapText="1"/>
      <protection hidden="1"/>
    </xf>
    <xf numFmtId="0" fontId="49" fillId="21" borderId="37" xfId="0" applyFont="1" applyFill="1" applyBorder="1" applyAlignment="1" applyProtection="1">
      <alignment horizontal="center" vertical="center" wrapText="1"/>
      <protection hidden="1"/>
    </xf>
    <xf numFmtId="0" fontId="49" fillId="21" borderId="31" xfId="0" applyFont="1" applyFill="1" applyBorder="1" applyAlignment="1" applyProtection="1">
      <alignment horizontal="center" vertical="center" wrapText="1"/>
      <protection hidden="1"/>
    </xf>
    <xf numFmtId="0" fontId="14" fillId="22" borderId="4" xfId="0" applyFont="1" applyFill="1" applyBorder="1" applyAlignment="1" applyProtection="1">
      <alignment horizontal="left" vertical="center" wrapText="1"/>
      <protection hidden="1"/>
    </xf>
    <xf numFmtId="0" fontId="8" fillId="20" borderId="2" xfId="2" applyFont="1" applyFill="1" applyBorder="1" applyAlignment="1" applyProtection="1">
      <alignment horizontal="center" vertical="center"/>
      <protection locked="0"/>
    </xf>
    <xf numFmtId="0" fontId="64" fillId="20" borderId="4" xfId="0" applyFont="1" applyFill="1" applyBorder="1" applyAlignment="1" applyProtection="1">
      <alignment horizontal="center" vertical="center" wrapText="1"/>
      <protection locked="0"/>
    </xf>
    <xf numFmtId="0" fontId="13" fillId="21" borderId="33" xfId="0" applyFont="1" applyFill="1" applyBorder="1" applyAlignment="1" applyProtection="1">
      <alignment horizontal="center" vertical="center"/>
      <protection hidden="1"/>
    </xf>
    <xf numFmtId="0" fontId="2" fillId="2" borderId="0" xfId="2" applyFill="1" applyBorder="1" applyAlignment="1" applyProtection="1">
      <alignment horizontal="left" vertical="center" wrapText="1" indent="5"/>
      <protection hidden="1"/>
    </xf>
    <xf numFmtId="0" fontId="2" fillId="0" borderId="28" xfId="2" applyFont="1" applyFill="1" applyBorder="1" applyAlignment="1" applyProtection="1">
      <alignment horizontal="left" vertical="center" wrapText="1" indent="1"/>
      <protection hidden="1"/>
    </xf>
    <xf numFmtId="0" fontId="2" fillId="0" borderId="29" xfId="2" applyFont="1" applyFill="1" applyBorder="1" applyAlignment="1" applyProtection="1">
      <alignment horizontal="left" vertical="center" wrapText="1" indent="1"/>
      <protection hidden="1"/>
    </xf>
    <xf numFmtId="0" fontId="2" fillId="0" borderId="30" xfId="2" applyFont="1" applyFill="1" applyBorder="1" applyAlignment="1" applyProtection="1">
      <alignment horizontal="left" vertical="center" wrapText="1" indent="1"/>
      <protection hidden="1"/>
    </xf>
    <xf numFmtId="0" fontId="72" fillId="2" borderId="0" xfId="2" applyFont="1" applyFill="1" applyBorder="1" applyAlignment="1" applyProtection="1">
      <alignment horizontal="right" vertical="center" wrapText="1"/>
      <protection hidden="1"/>
    </xf>
    <xf numFmtId="0" fontId="67" fillId="11" borderId="69" xfId="2" applyFont="1" applyFill="1" applyBorder="1" applyAlignment="1" applyProtection="1">
      <alignment horizontal="left" vertical="center" wrapText="1" indent="1"/>
      <protection hidden="1"/>
    </xf>
    <xf numFmtId="0" fontId="67" fillId="11" borderId="68" xfId="2" applyFont="1" applyFill="1" applyBorder="1" applyAlignment="1" applyProtection="1">
      <alignment horizontal="left" vertical="center" wrapText="1" indent="1"/>
      <protection hidden="1"/>
    </xf>
    <xf numFmtId="0" fontId="67" fillId="11" borderId="70" xfId="2" applyFont="1" applyFill="1" applyBorder="1" applyAlignment="1" applyProtection="1">
      <alignment horizontal="left" vertical="center" wrapText="1" indent="1"/>
      <protection hidden="1"/>
    </xf>
    <xf numFmtId="0" fontId="67" fillId="11" borderId="71" xfId="2" applyFont="1" applyFill="1" applyBorder="1" applyAlignment="1" applyProtection="1">
      <alignment horizontal="left" vertical="center" wrapText="1" indent="1"/>
      <protection hidden="1"/>
    </xf>
    <xf numFmtId="0" fontId="67" fillId="11" borderId="72" xfId="2" applyFont="1" applyFill="1" applyBorder="1" applyAlignment="1" applyProtection="1">
      <alignment horizontal="left" vertical="center" wrapText="1" indent="1"/>
      <protection hidden="1"/>
    </xf>
    <xf numFmtId="0" fontId="67" fillId="11" borderId="73" xfId="2" applyFont="1" applyFill="1" applyBorder="1" applyAlignment="1" applyProtection="1">
      <alignment horizontal="left" vertical="center" wrapText="1" indent="1"/>
      <protection hidden="1"/>
    </xf>
    <xf numFmtId="0" fontId="67" fillId="11" borderId="6" xfId="2" applyFont="1" applyFill="1" applyBorder="1" applyAlignment="1" applyProtection="1">
      <alignment horizontal="left" vertical="center" wrapText="1" indent="1"/>
      <protection hidden="1"/>
    </xf>
    <xf numFmtId="0" fontId="67" fillId="11" borderId="74" xfId="2" applyFont="1" applyFill="1" applyBorder="1" applyAlignment="1" applyProtection="1">
      <alignment horizontal="left" vertical="center" wrapText="1" indent="1"/>
      <protection hidden="1"/>
    </xf>
    <xf numFmtId="0" fontId="13" fillId="21" borderId="8" xfId="0" applyFont="1" applyFill="1" applyBorder="1" applyAlignment="1" applyProtection="1">
      <alignment horizontal="left" vertical="center" indent="1"/>
      <protection hidden="1"/>
    </xf>
    <xf numFmtId="0" fontId="2" fillId="10" borderId="28" xfId="2" applyFill="1" applyBorder="1" applyAlignment="1" applyProtection="1">
      <alignment horizontal="left" vertical="center" wrapText="1" indent="6"/>
      <protection hidden="1"/>
    </xf>
    <xf numFmtId="0" fontId="2" fillId="10" borderId="29" xfId="2" applyFill="1" applyBorder="1" applyAlignment="1" applyProtection="1">
      <alignment horizontal="left" vertical="center" wrapText="1" indent="6"/>
      <protection hidden="1"/>
    </xf>
    <xf numFmtId="0" fontId="2" fillId="10" borderId="30" xfId="2" applyFill="1" applyBorder="1" applyAlignment="1" applyProtection="1">
      <alignment horizontal="left" vertical="center" wrapText="1" indent="6"/>
      <protection hidden="1"/>
    </xf>
    <xf numFmtId="0" fontId="2" fillId="10" borderId="63" xfId="0" applyFont="1" applyFill="1" applyBorder="1" applyAlignment="1" applyProtection="1">
      <alignment horizontal="left" vertical="center" wrapText="1" indent="8"/>
      <protection hidden="1"/>
    </xf>
    <xf numFmtId="0" fontId="2" fillId="10" borderId="0" xfId="0" applyFont="1" applyFill="1" applyBorder="1" applyAlignment="1" applyProtection="1">
      <alignment horizontal="left" vertical="center" wrapText="1" indent="8"/>
      <protection hidden="1"/>
    </xf>
    <xf numFmtId="0" fontId="2" fillId="10" borderId="64" xfId="0" applyFont="1" applyFill="1" applyBorder="1" applyAlignment="1" applyProtection="1">
      <alignment horizontal="left" vertical="center" wrapText="1" indent="8"/>
      <protection hidden="1"/>
    </xf>
    <xf numFmtId="0" fontId="2" fillId="10" borderId="25" xfId="0" applyFont="1" applyFill="1" applyBorder="1" applyAlignment="1" applyProtection="1">
      <alignment horizontal="left" vertical="center" wrapText="1" indent="8"/>
      <protection hidden="1"/>
    </xf>
    <xf numFmtId="0" fontId="2" fillId="10" borderId="26" xfId="0" applyFont="1" applyFill="1" applyBorder="1" applyAlignment="1" applyProtection="1">
      <alignment horizontal="left" vertical="center" wrapText="1" indent="8"/>
      <protection hidden="1"/>
    </xf>
    <xf numFmtId="0" fontId="2" fillId="2" borderId="0" xfId="2" applyFill="1" applyBorder="1" applyAlignment="1" applyProtection="1">
      <alignment horizontal="left" wrapText="1" indent="6"/>
      <protection hidden="1"/>
    </xf>
    <xf numFmtId="0" fontId="14" fillId="20" borderId="8" xfId="0" applyFont="1" applyFill="1" applyBorder="1" applyAlignment="1" applyProtection="1">
      <alignment horizontal="center" vertical="center" wrapText="1"/>
      <protection locked="0"/>
    </xf>
    <xf numFmtId="0" fontId="13" fillId="21" borderId="8" xfId="0" applyFont="1" applyFill="1" applyBorder="1" applyAlignment="1" applyProtection="1">
      <alignment horizontal="left" vertical="center" wrapText="1" indent="1"/>
      <protection hidden="1"/>
    </xf>
    <xf numFmtId="0" fontId="2" fillId="4" borderId="4" xfId="0" applyFont="1" applyFill="1" applyBorder="1" applyAlignment="1" applyProtection="1">
      <alignment horizontal="left" vertical="center" wrapText="1" indent="1"/>
      <protection hidden="1"/>
    </xf>
    <xf numFmtId="0" fontId="22" fillId="2" borderId="0" xfId="0" applyFont="1" applyFill="1" applyBorder="1" applyAlignment="1" applyProtection="1">
      <alignment horizontal="left" vertical="center" wrapText="1" indent="5"/>
      <protection hidden="1"/>
    </xf>
    <xf numFmtId="0" fontId="2" fillId="10" borderId="25" xfId="2" applyFont="1" applyFill="1" applyBorder="1" applyAlignment="1" applyProtection="1">
      <alignment horizontal="left" indent="8"/>
      <protection hidden="1"/>
    </xf>
    <xf numFmtId="0" fontId="2" fillId="10" borderId="26" xfId="2" applyFont="1" applyFill="1" applyBorder="1" applyAlignment="1" applyProtection="1">
      <alignment horizontal="left" indent="8"/>
      <protection hidden="1"/>
    </xf>
    <xf numFmtId="0" fontId="2" fillId="10" borderId="27" xfId="2" applyFont="1" applyFill="1" applyBorder="1" applyAlignment="1" applyProtection="1">
      <alignment horizontal="left" indent="8"/>
      <protection hidden="1"/>
    </xf>
    <xf numFmtId="0" fontId="14" fillId="20" borderId="4" xfId="0" applyFont="1" applyFill="1" applyBorder="1" applyAlignment="1" applyProtection="1">
      <alignment horizontal="center" vertical="center" wrapText="1"/>
      <protection locked="0" hidden="1"/>
    </xf>
    <xf numFmtId="0" fontId="2" fillId="4" borderId="4" xfId="0" applyFont="1" applyFill="1" applyBorder="1" applyAlignment="1" applyProtection="1">
      <alignment horizontal="left" vertical="center" wrapText="1"/>
      <protection hidden="1"/>
    </xf>
    <xf numFmtId="0" fontId="2" fillId="4" borderId="38" xfId="0" applyFont="1" applyFill="1" applyBorder="1" applyAlignment="1" applyProtection="1">
      <alignment horizontal="left" vertical="center" wrapText="1" indent="1"/>
      <protection hidden="1"/>
    </xf>
    <xf numFmtId="0" fontId="2" fillId="4" borderId="0" xfId="0" applyFont="1" applyFill="1" applyBorder="1" applyAlignment="1" applyProtection="1">
      <alignment horizontal="left" vertical="center" wrapText="1" indent="1"/>
      <protection hidden="1"/>
    </xf>
    <xf numFmtId="0" fontId="2" fillId="4" borderId="22" xfId="0" applyFont="1" applyFill="1" applyBorder="1" applyAlignment="1" applyProtection="1">
      <alignment horizontal="left" vertical="center" wrapText="1" indent="1"/>
      <protection hidden="1"/>
    </xf>
    <xf numFmtId="0" fontId="2" fillId="0" borderId="60" xfId="2" applyFont="1" applyFill="1" applyBorder="1" applyAlignment="1" applyProtection="1">
      <alignment horizontal="left" vertical="center" wrapText="1" indent="1"/>
      <protection hidden="1"/>
    </xf>
    <xf numFmtId="0" fontId="2" fillId="0" borderId="61" xfId="2" applyFont="1" applyFill="1" applyBorder="1" applyAlignment="1" applyProtection="1">
      <alignment horizontal="left" vertical="center" wrapText="1" indent="1"/>
      <protection hidden="1"/>
    </xf>
    <xf numFmtId="0" fontId="2" fillId="0" borderId="62" xfId="2" applyFont="1" applyFill="1" applyBorder="1" applyAlignment="1" applyProtection="1">
      <alignment horizontal="left" vertical="center" wrapText="1" indent="1"/>
      <protection hidden="1"/>
    </xf>
    <xf numFmtId="0" fontId="22" fillId="10" borderId="20" xfId="2" applyFont="1" applyFill="1" applyBorder="1" applyAlignment="1" applyProtection="1">
      <alignment horizontal="left" vertical="center" wrapText="1" indent="1"/>
      <protection hidden="1"/>
    </xf>
    <xf numFmtId="0" fontId="22" fillId="10" borderId="24" xfId="2" applyFont="1" applyFill="1" applyBorder="1" applyAlignment="1" applyProtection="1">
      <alignment horizontal="left" vertical="center" wrapText="1" indent="1"/>
      <protection hidden="1"/>
    </xf>
    <xf numFmtId="0" fontId="22" fillId="10" borderId="21" xfId="2" applyFont="1" applyFill="1" applyBorder="1" applyAlignment="1" applyProtection="1">
      <alignment horizontal="left" vertical="center" wrapText="1" indent="1"/>
      <protection hidden="1"/>
    </xf>
    <xf numFmtId="0" fontId="13" fillId="21" borderId="10" xfId="0" applyFont="1" applyFill="1" applyBorder="1" applyAlignment="1" applyProtection="1">
      <alignment horizontal="center" vertical="center"/>
      <protection hidden="1"/>
    </xf>
    <xf numFmtId="0" fontId="2" fillId="10" borderId="63" xfId="2" applyFont="1" applyFill="1" applyBorder="1" applyAlignment="1" applyProtection="1">
      <alignment horizontal="left" indent="8"/>
      <protection hidden="1"/>
    </xf>
    <xf numFmtId="0" fontId="2" fillId="10" borderId="0" xfId="2" applyFont="1" applyFill="1" applyBorder="1" applyAlignment="1" applyProtection="1">
      <alignment horizontal="left" indent="8"/>
      <protection hidden="1"/>
    </xf>
    <xf numFmtId="0" fontId="2" fillId="10" borderId="64" xfId="2" applyFont="1" applyFill="1" applyBorder="1" applyAlignment="1" applyProtection="1">
      <alignment horizontal="left" indent="8"/>
      <protection hidden="1"/>
    </xf>
    <xf numFmtId="0" fontId="72" fillId="2" borderId="6" xfId="2" applyFont="1" applyFill="1" applyBorder="1" applyAlignment="1" applyProtection="1">
      <alignment horizontal="right" vertical="center" wrapText="1"/>
      <protection hidden="1"/>
    </xf>
    <xf numFmtId="0" fontId="22" fillId="10" borderId="60" xfId="2" applyFont="1" applyFill="1" applyBorder="1" applyAlignment="1" applyProtection="1">
      <alignment horizontal="left" indent="7"/>
      <protection hidden="1"/>
    </xf>
    <xf numFmtId="0" fontId="22" fillId="10" borderId="61" xfId="2" applyFont="1" applyFill="1" applyBorder="1" applyAlignment="1" applyProtection="1">
      <alignment horizontal="left" indent="7"/>
      <protection hidden="1"/>
    </xf>
    <xf numFmtId="0" fontId="22" fillId="10" borderId="62" xfId="2" applyFont="1" applyFill="1" applyBorder="1" applyAlignment="1" applyProtection="1">
      <alignment horizontal="left" indent="7"/>
      <protection hidden="1"/>
    </xf>
    <xf numFmtId="0" fontId="51" fillId="16" borderId="4" xfId="0" applyFont="1" applyFill="1" applyBorder="1" applyAlignment="1" applyProtection="1">
      <alignment horizontal="center" vertical="center" wrapText="1"/>
      <protection hidden="1"/>
    </xf>
    <xf numFmtId="0" fontId="50" fillId="16" borderId="33" xfId="2" applyFont="1" applyFill="1" applyBorder="1" applyAlignment="1">
      <alignment horizontal="left" vertical="center"/>
    </xf>
    <xf numFmtId="0" fontId="50" fillId="16" borderId="0" xfId="2" applyFont="1" applyFill="1" applyBorder="1" applyAlignment="1">
      <alignment horizontal="left" vertical="center"/>
    </xf>
    <xf numFmtId="0" fontId="5" fillId="16" borderId="0" xfId="2" applyFont="1" applyFill="1" applyBorder="1" applyAlignment="1" applyProtection="1">
      <alignment horizontal="left" vertical="top" wrapText="1"/>
      <protection hidden="1"/>
    </xf>
    <xf numFmtId="0" fontId="5" fillId="16" borderId="35" xfId="2" applyFont="1" applyFill="1" applyBorder="1" applyAlignment="1">
      <alignment horizontal="center" vertical="center" wrapText="1"/>
    </xf>
    <xf numFmtId="0" fontId="5" fillId="16" borderId="3" xfId="2" applyFont="1" applyFill="1" applyBorder="1" applyAlignment="1">
      <alignment horizontal="center" vertical="center" wrapText="1"/>
    </xf>
    <xf numFmtId="0" fontId="51" fillId="16" borderId="4" xfId="0" applyFont="1" applyFill="1" applyBorder="1" applyAlignment="1" applyProtection="1">
      <alignment horizontal="left" vertical="center" indent="1"/>
      <protection hidden="1"/>
    </xf>
    <xf numFmtId="0" fontId="62" fillId="10" borderId="4" xfId="3" applyFont="1" applyFill="1" applyBorder="1" applyAlignment="1">
      <alignment horizontal="left" vertical="center" indent="1"/>
    </xf>
    <xf numFmtId="0" fontId="5" fillId="16" borderId="10" xfId="0" applyFont="1" applyFill="1" applyBorder="1" applyAlignment="1" applyProtection="1">
      <alignment horizontal="left" vertical="center" indent="1"/>
      <protection hidden="1"/>
    </xf>
    <xf numFmtId="0" fontId="5" fillId="16" borderId="8" xfId="0" applyFont="1" applyFill="1" applyBorder="1" applyAlignment="1" applyProtection="1">
      <alignment horizontal="left" vertical="center" indent="1"/>
      <protection hidden="1"/>
    </xf>
    <xf numFmtId="0" fontId="40" fillId="16" borderId="0" xfId="0" applyFont="1" applyFill="1" applyBorder="1" applyAlignment="1" applyProtection="1">
      <alignment horizontal="left" vertical="center" indent="1"/>
      <protection hidden="1"/>
    </xf>
    <xf numFmtId="0" fontId="13" fillId="16" borderId="7" xfId="0" applyFont="1" applyFill="1" applyBorder="1" applyAlignment="1" applyProtection="1">
      <alignment horizontal="center" vertical="center"/>
      <protection hidden="1"/>
    </xf>
    <xf numFmtId="0" fontId="13" fillId="16" borderId="8" xfId="0" applyFont="1" applyFill="1" applyBorder="1" applyAlignment="1" applyProtection="1">
      <alignment horizontal="center" vertical="center"/>
      <protection hidden="1"/>
    </xf>
    <xf numFmtId="0" fontId="13" fillId="16" borderId="10" xfId="0" applyFont="1" applyFill="1" applyBorder="1" applyAlignment="1" applyProtection="1">
      <alignment horizontal="left" vertical="center" indent="1"/>
      <protection hidden="1"/>
    </xf>
    <xf numFmtId="0" fontId="13" fillId="16" borderId="7" xfId="0" applyFont="1" applyFill="1" applyBorder="1" applyAlignment="1" applyProtection="1">
      <alignment horizontal="left" vertical="center" indent="1"/>
      <protection hidden="1"/>
    </xf>
    <xf numFmtId="0" fontId="37" fillId="17" borderId="4" xfId="4" applyFont="1" applyFill="1" applyBorder="1" applyAlignment="1" applyProtection="1">
      <alignment horizontal="center" vertical="center" wrapText="1"/>
      <protection hidden="1"/>
    </xf>
    <xf numFmtId="0" fontId="13" fillId="17" borderId="4" xfId="4" applyFont="1" applyFill="1" applyBorder="1" applyAlignment="1" applyProtection="1">
      <alignment horizontal="center" vertical="center" wrapText="1"/>
      <protection hidden="1"/>
    </xf>
    <xf numFmtId="0" fontId="2" fillId="4" borderId="4" xfId="2" applyFont="1" applyFill="1" applyBorder="1" applyAlignment="1" applyProtection="1">
      <alignment horizontal="left" vertical="center" wrapText="1" indent="1"/>
      <protection hidden="1"/>
    </xf>
    <xf numFmtId="0" fontId="10" fillId="16" borderId="0" xfId="0" applyFont="1" applyFill="1" applyBorder="1" applyAlignment="1" applyProtection="1">
      <alignment horizontal="left" vertical="center" indent="1"/>
      <protection hidden="1"/>
    </xf>
    <xf numFmtId="0" fontId="21" fillId="28" borderId="0" xfId="0" applyFont="1" applyFill="1" applyBorder="1" applyAlignment="1" applyProtection="1">
      <alignment horizontal="left" vertical="center" wrapText="1" indent="5"/>
      <protection hidden="1"/>
    </xf>
    <xf numFmtId="0" fontId="20" fillId="16" borderId="10" xfId="2" applyFont="1" applyFill="1" applyBorder="1" applyAlignment="1" applyProtection="1">
      <alignment horizontal="left" vertical="center" wrapText="1" indent="1"/>
      <protection hidden="1"/>
    </xf>
    <xf numFmtId="0" fontId="20" fillId="16" borderId="7" xfId="2" applyFont="1" applyFill="1" applyBorder="1" applyAlignment="1" applyProtection="1">
      <alignment horizontal="left" vertical="center" wrapText="1" indent="1"/>
      <protection hidden="1"/>
    </xf>
    <xf numFmtId="0" fontId="2" fillId="4" borderId="31" xfId="2" applyFont="1" applyFill="1" applyBorder="1" applyAlignment="1" applyProtection="1">
      <alignment horizontal="left" vertical="center" wrapText="1" indent="1"/>
      <protection hidden="1"/>
    </xf>
    <xf numFmtId="0" fontId="37" fillId="17" borderId="32" xfId="4" applyFont="1" applyFill="1" applyBorder="1" applyAlignment="1" applyProtection="1">
      <alignment horizontal="center" vertical="distributed" wrapText="1"/>
      <protection hidden="1"/>
    </xf>
    <xf numFmtId="0" fontId="37" fillId="17" borderId="33" xfId="4" applyFont="1" applyFill="1" applyBorder="1" applyAlignment="1" applyProtection="1">
      <alignment horizontal="center" vertical="distributed" wrapText="1"/>
      <protection hidden="1"/>
    </xf>
    <xf numFmtId="0" fontId="2" fillId="20" borderId="4" xfId="4" applyNumberFormat="1" applyFont="1" applyFill="1" applyBorder="1" applyAlignment="1" applyProtection="1">
      <alignment horizontal="center" vertical="center"/>
      <protection locked="0"/>
    </xf>
    <xf numFmtId="0" fontId="37" fillId="17" borderId="10" xfId="4" applyFont="1" applyFill="1" applyBorder="1" applyAlignment="1" applyProtection="1">
      <alignment horizontal="center" vertical="distributed" wrapText="1"/>
      <protection hidden="1"/>
    </xf>
    <xf numFmtId="0" fontId="37" fillId="17" borderId="7" xfId="4" applyFont="1" applyFill="1" applyBorder="1" applyAlignment="1" applyProtection="1">
      <alignment horizontal="center" vertical="distributed" wrapText="1"/>
      <protection hidden="1"/>
    </xf>
    <xf numFmtId="0" fontId="13" fillId="17" borderId="7" xfId="4" applyFont="1" applyFill="1" applyBorder="1" applyAlignment="1" applyProtection="1">
      <alignment horizontal="center" vertical="center" wrapText="1"/>
      <protection hidden="1"/>
    </xf>
    <xf numFmtId="0" fontId="2" fillId="20" borderId="10" xfId="4" applyNumberFormat="1" applyFont="1" applyFill="1" applyBorder="1" applyAlignment="1" applyProtection="1">
      <alignment horizontal="center" vertical="center"/>
      <protection locked="0"/>
    </xf>
    <xf numFmtId="0" fontId="2" fillId="20" borderId="8" xfId="4" applyNumberFormat="1" applyFont="1" applyFill="1" applyBorder="1" applyAlignment="1" applyProtection="1">
      <alignment horizontal="center" vertical="center"/>
      <protection locked="0"/>
    </xf>
    <xf numFmtId="0" fontId="13" fillId="17" borderId="33" xfId="4" applyFont="1" applyFill="1" applyBorder="1" applyAlignment="1" applyProtection="1">
      <alignment horizontal="center" vertical="center" wrapText="1"/>
      <protection hidden="1"/>
    </xf>
    <xf numFmtId="0" fontId="13" fillId="17" borderId="3" xfId="4" applyFont="1" applyFill="1" applyBorder="1" applyAlignment="1" applyProtection="1">
      <alignment horizontal="center" vertical="center" wrapText="1"/>
      <protection hidden="1"/>
    </xf>
    <xf numFmtId="0" fontId="2" fillId="20" borderId="31" xfId="4" applyNumberFormat="1" applyFont="1" applyFill="1" applyBorder="1" applyAlignment="1" applyProtection="1">
      <alignment horizontal="center" vertical="center"/>
      <protection locked="0"/>
    </xf>
    <xf numFmtId="0" fontId="2" fillId="4" borderId="31" xfId="4" applyNumberFormat="1" applyFont="1" applyFill="1" applyBorder="1" applyAlignment="1" applyProtection="1">
      <alignment horizontal="center" vertical="center"/>
      <protection hidden="1"/>
    </xf>
    <xf numFmtId="0" fontId="2" fillId="4" borderId="4" xfId="4" applyNumberFormat="1" applyFont="1" applyFill="1" applyBorder="1" applyAlignment="1" applyProtection="1">
      <alignment horizontal="center" vertical="center"/>
      <protection hidden="1"/>
    </xf>
    <xf numFmtId="0" fontId="2" fillId="10" borderId="25" xfId="2" applyFill="1" applyBorder="1" applyAlignment="1" applyProtection="1">
      <alignment horizontal="left" indent="8"/>
      <protection hidden="1"/>
    </xf>
    <xf numFmtId="0" fontId="2" fillId="10" borderId="26" xfId="2" applyFill="1" applyBorder="1" applyAlignment="1" applyProtection="1">
      <alignment horizontal="left" indent="8"/>
      <protection hidden="1"/>
    </xf>
    <xf numFmtId="0" fontId="2" fillId="10" borderId="27" xfId="2" applyFill="1" applyBorder="1" applyAlignment="1" applyProtection="1">
      <alignment horizontal="left" indent="8"/>
      <protection hidden="1"/>
    </xf>
    <xf numFmtId="0" fontId="2" fillId="10" borderId="63" xfId="2" applyFill="1" applyBorder="1" applyAlignment="1" applyProtection="1">
      <alignment horizontal="left" indent="8"/>
      <protection hidden="1"/>
    </xf>
    <xf numFmtId="0" fontId="21" fillId="25" borderId="0" xfId="0" applyFont="1" applyFill="1" applyBorder="1" applyAlignment="1" applyProtection="1">
      <alignment horizontal="left" vertical="center" wrapText="1" indent="5"/>
      <protection hidden="1"/>
    </xf>
    <xf numFmtId="0" fontId="22" fillId="25" borderId="0" xfId="0" applyFont="1" applyFill="1" applyBorder="1" applyAlignment="1" applyProtection="1">
      <alignment horizontal="left" vertical="center" wrapText="1" indent="5"/>
      <protection hidden="1"/>
    </xf>
    <xf numFmtId="0" fontId="8" fillId="20" borderId="5" xfId="2" applyFont="1" applyFill="1" applyBorder="1" applyAlignment="1" applyProtection="1">
      <alignment horizontal="center" vertical="center"/>
      <protection locked="0"/>
    </xf>
    <xf numFmtId="0" fontId="8" fillId="18" borderId="5" xfId="2" applyFont="1" applyFill="1" applyBorder="1" applyAlignment="1" applyProtection="1">
      <alignment horizontal="center" vertical="center"/>
      <protection hidden="1"/>
    </xf>
    <xf numFmtId="0" fontId="2" fillId="11" borderId="131" xfId="2" applyFont="1" applyFill="1" applyBorder="1" applyAlignment="1" applyProtection="1">
      <alignment horizontal="left" vertical="center" wrapText="1" indent="1"/>
      <protection hidden="1"/>
    </xf>
    <xf numFmtId="0" fontId="20" fillId="16" borderId="60" xfId="2" applyFont="1" applyFill="1" applyBorder="1" applyAlignment="1" applyProtection="1">
      <alignment horizontal="left" vertical="center" wrapText="1" indent="1"/>
      <protection hidden="1"/>
    </xf>
    <xf numFmtId="0" fontId="20" fillId="16" borderId="61" xfId="2" applyFont="1" applyFill="1" applyBorder="1" applyAlignment="1" applyProtection="1">
      <alignment horizontal="left" vertical="center" wrapText="1" indent="1"/>
      <protection hidden="1"/>
    </xf>
    <xf numFmtId="0" fontId="2" fillId="11" borderId="133" xfId="2" applyFont="1" applyFill="1" applyBorder="1" applyAlignment="1" applyProtection="1">
      <alignment horizontal="left" vertical="center" wrapText="1" indent="1"/>
      <protection hidden="1"/>
    </xf>
    <xf numFmtId="0" fontId="2" fillId="11" borderId="132" xfId="2" applyFont="1" applyFill="1" applyBorder="1" applyAlignment="1" applyProtection="1">
      <alignment horizontal="left" vertical="center" wrapText="1" indent="1"/>
      <protection hidden="1"/>
    </xf>
    <xf numFmtId="0" fontId="20" fillId="16" borderId="28" xfId="2" applyFont="1" applyFill="1" applyBorder="1" applyAlignment="1" applyProtection="1">
      <alignment horizontal="left" vertical="center" wrapText="1" indent="1"/>
      <protection hidden="1"/>
    </xf>
    <xf numFmtId="0" fontId="20" fillId="16" borderId="29" xfId="2" applyFont="1" applyFill="1" applyBorder="1" applyAlignment="1" applyProtection="1">
      <alignment horizontal="left" vertical="center" wrapText="1" indent="1"/>
      <protection hidden="1"/>
    </xf>
    <xf numFmtId="0" fontId="2" fillId="4" borderId="37" xfId="4" applyNumberFormat="1" applyFont="1" applyFill="1" applyBorder="1" applyAlignment="1" applyProtection="1">
      <alignment horizontal="center" vertical="center"/>
      <protection hidden="1"/>
    </xf>
    <xf numFmtId="0" fontId="13" fillId="17" borderId="34" xfId="4" applyFont="1" applyFill="1" applyBorder="1" applyAlignment="1" applyProtection="1">
      <alignment horizontal="center" vertical="center" wrapText="1"/>
      <protection hidden="1"/>
    </xf>
    <xf numFmtId="0" fontId="13" fillId="17" borderId="36" xfId="4" applyFont="1" applyFill="1" applyBorder="1" applyAlignment="1" applyProtection="1">
      <alignment horizontal="center" vertical="center" wrapText="1"/>
      <protection hidden="1"/>
    </xf>
    <xf numFmtId="0" fontId="22" fillId="11" borderId="2" xfId="2" applyFont="1" applyFill="1" applyBorder="1" applyAlignment="1" applyProtection="1">
      <alignment horizontal="center" vertical="center"/>
      <protection hidden="1"/>
    </xf>
    <xf numFmtId="0" fontId="13" fillId="16" borderId="3" xfId="0" applyFont="1" applyFill="1" applyBorder="1" applyAlignment="1" applyProtection="1">
      <alignment horizontal="center" vertical="center"/>
      <protection hidden="1"/>
    </xf>
    <xf numFmtId="0" fontId="22" fillId="10" borderId="28" xfId="2" applyFont="1" applyFill="1" applyBorder="1" applyAlignment="1" applyProtection="1">
      <alignment horizontal="center" vertical="center"/>
      <protection hidden="1"/>
    </xf>
    <xf numFmtId="0" fontId="22" fillId="10" borderId="30" xfId="2" applyFont="1" applyFill="1" applyBorder="1" applyAlignment="1" applyProtection="1">
      <alignment horizontal="center" vertical="center"/>
      <protection hidden="1"/>
    </xf>
    <xf numFmtId="0" fontId="22" fillId="10" borderId="29" xfId="2" applyFont="1" applyFill="1" applyBorder="1" applyAlignment="1" applyProtection="1">
      <alignment horizontal="center" vertical="center"/>
      <protection hidden="1"/>
    </xf>
    <xf numFmtId="0" fontId="22" fillId="10" borderId="124" xfId="2" applyFont="1" applyFill="1" applyBorder="1" applyAlignment="1">
      <alignment horizontal="left" vertical="center" wrapText="1" indent="1"/>
    </xf>
    <xf numFmtId="0" fontId="22" fillId="10" borderId="125" xfId="2" applyFont="1" applyFill="1" applyBorder="1" applyAlignment="1">
      <alignment horizontal="left" vertical="center" wrapText="1" indent="1"/>
    </xf>
    <xf numFmtId="0" fontId="22" fillId="10" borderId="126" xfId="2" applyFont="1" applyFill="1" applyBorder="1" applyAlignment="1">
      <alignment horizontal="left" vertical="center" wrapText="1" indent="1"/>
    </xf>
    <xf numFmtId="0" fontId="13" fillId="16" borderId="35" xfId="0" applyFont="1" applyFill="1" applyBorder="1" applyAlignment="1" applyProtection="1">
      <alignment horizontal="left" vertical="center"/>
      <protection hidden="1"/>
    </xf>
    <xf numFmtId="0" fontId="13" fillId="16" borderId="3" xfId="0" applyFont="1" applyFill="1" applyBorder="1" applyAlignment="1" applyProtection="1">
      <alignment horizontal="left" vertical="center"/>
      <protection hidden="1"/>
    </xf>
    <xf numFmtId="0" fontId="14" fillId="20" borderId="32" xfId="0" applyFont="1" applyFill="1" applyBorder="1" applyAlignment="1" applyProtection="1">
      <alignment horizontal="center" vertical="center" wrapText="1"/>
      <protection locked="0"/>
    </xf>
    <xf numFmtId="0" fontId="14" fillId="20" borderId="33" xfId="0" applyFont="1" applyFill="1" applyBorder="1" applyAlignment="1" applyProtection="1">
      <alignment horizontal="center" vertical="center" wrapText="1"/>
      <protection locked="0"/>
    </xf>
    <xf numFmtId="0" fontId="20" fillId="16" borderId="89" xfId="2" applyFont="1" applyFill="1" applyBorder="1" applyAlignment="1" applyProtection="1">
      <alignment horizontal="left" vertical="center" wrapText="1" indent="1"/>
      <protection hidden="1"/>
    </xf>
    <xf numFmtId="0" fontId="20" fillId="16" borderId="0" xfId="2" applyFont="1" applyFill="1" applyBorder="1" applyAlignment="1" applyProtection="1">
      <alignment horizontal="left" vertical="center" wrapText="1" indent="1"/>
      <protection hidden="1"/>
    </xf>
    <xf numFmtId="0" fontId="20" fillId="16" borderId="27" xfId="2" applyFont="1" applyFill="1" applyBorder="1" applyAlignment="1" applyProtection="1">
      <alignment horizontal="center" vertical="center" wrapText="1"/>
      <protection hidden="1"/>
    </xf>
    <xf numFmtId="0" fontId="20" fillId="16" borderId="25" xfId="2" applyFont="1" applyFill="1" applyBorder="1" applyAlignment="1" applyProtection="1">
      <alignment horizontal="center" vertical="center" wrapText="1"/>
      <protection hidden="1"/>
    </xf>
    <xf numFmtId="0" fontId="20" fillId="16" borderId="1" xfId="2" applyFont="1" applyFill="1" applyBorder="1" applyAlignment="1" applyProtection="1">
      <alignment horizontal="center" vertical="center" wrapText="1"/>
      <protection hidden="1"/>
    </xf>
    <xf numFmtId="0" fontId="2" fillId="0" borderId="87" xfId="2" applyFont="1" applyFill="1" applyBorder="1" applyAlignment="1" applyProtection="1">
      <alignment horizontal="left" vertical="center" wrapText="1" indent="1"/>
      <protection hidden="1"/>
    </xf>
    <xf numFmtId="0" fontId="2" fillId="0" borderId="6" xfId="2" applyFont="1" applyFill="1" applyBorder="1" applyAlignment="1" applyProtection="1">
      <alignment horizontal="left" vertical="center" wrapText="1" indent="1"/>
      <protection hidden="1"/>
    </xf>
    <xf numFmtId="0" fontId="2" fillId="0" borderId="88" xfId="2" applyFont="1" applyFill="1" applyBorder="1" applyAlignment="1" applyProtection="1">
      <alignment horizontal="left" vertical="center" wrapText="1" indent="1"/>
      <protection hidden="1"/>
    </xf>
    <xf numFmtId="0" fontId="13" fillId="17" borderId="10" xfId="4" applyFont="1" applyFill="1" applyBorder="1" applyAlignment="1" applyProtection="1">
      <alignment horizontal="center" vertical="center" wrapText="1"/>
      <protection hidden="1"/>
    </xf>
    <xf numFmtId="0" fontId="2" fillId="0" borderId="63" xfId="2" applyFont="1" applyFill="1" applyBorder="1" applyAlignment="1" applyProtection="1">
      <alignment horizontal="left" vertical="center" wrapText="1" indent="1"/>
      <protection hidden="1"/>
    </xf>
    <xf numFmtId="0" fontId="2" fillId="0" borderId="0" xfId="2" applyFont="1" applyFill="1" applyBorder="1" applyAlignment="1" applyProtection="1">
      <alignment horizontal="left" vertical="center" wrapText="1" indent="1"/>
      <protection hidden="1"/>
    </xf>
    <xf numFmtId="0" fontId="2" fillId="0" borderId="64" xfId="2" applyFont="1" applyFill="1" applyBorder="1" applyAlignment="1" applyProtection="1">
      <alignment horizontal="left" vertical="center" wrapText="1" indent="1"/>
      <protection hidden="1"/>
    </xf>
    <xf numFmtId="0" fontId="20" fillId="16" borderId="68" xfId="2" applyFont="1" applyFill="1" applyBorder="1" applyAlignment="1" applyProtection="1">
      <alignment horizontal="left" vertical="center" wrapText="1" indent="1"/>
      <protection hidden="1"/>
    </xf>
    <xf numFmtId="10" fontId="2" fillId="20" borderId="4" xfId="1" applyNumberFormat="1" applyFont="1" applyFill="1" applyBorder="1" applyAlignment="1" applyProtection="1">
      <alignment horizontal="center" vertical="center"/>
      <protection locked="0"/>
    </xf>
    <xf numFmtId="0" fontId="14" fillId="20" borderId="10" xfId="0" applyFont="1" applyFill="1" applyBorder="1" applyAlignment="1" applyProtection="1">
      <alignment horizontal="left" vertical="center" wrapText="1"/>
      <protection locked="0"/>
    </xf>
    <xf numFmtId="0" fontId="14" fillId="20" borderId="7" xfId="0" applyFont="1" applyFill="1" applyBorder="1" applyAlignment="1" applyProtection="1">
      <alignment horizontal="left" vertical="center" wrapText="1"/>
      <protection locked="0"/>
    </xf>
    <xf numFmtId="0" fontId="14" fillId="20" borderId="8" xfId="0" applyFont="1" applyFill="1" applyBorder="1" applyAlignment="1" applyProtection="1">
      <alignment horizontal="left" vertical="center" wrapText="1"/>
      <protection locked="0"/>
    </xf>
    <xf numFmtId="0" fontId="37" fillId="16" borderId="4" xfId="4" applyFont="1" applyFill="1" applyBorder="1" applyAlignment="1" applyProtection="1">
      <alignment horizontal="center" vertical="center" wrapText="1"/>
      <protection hidden="1"/>
    </xf>
    <xf numFmtId="0" fontId="37" fillId="16" borderId="10" xfId="4" applyFont="1" applyFill="1" applyBorder="1" applyAlignment="1" applyProtection="1">
      <alignment horizontal="center" vertical="center" wrapText="1"/>
      <protection hidden="1"/>
    </xf>
    <xf numFmtId="0" fontId="37" fillId="16" borderId="7" xfId="4" applyFont="1" applyFill="1" applyBorder="1" applyAlignment="1" applyProtection="1">
      <alignment horizontal="center" vertical="center" wrapText="1"/>
      <protection hidden="1"/>
    </xf>
    <xf numFmtId="0" fontId="37" fillId="16" borderId="8" xfId="4" applyFont="1" applyFill="1" applyBorder="1" applyAlignment="1" applyProtection="1">
      <alignment horizontal="center" vertical="center" wrapText="1"/>
      <protection hidden="1"/>
    </xf>
    <xf numFmtId="0" fontId="6" fillId="9" borderId="10" xfId="2" applyFont="1" applyFill="1" applyBorder="1" applyAlignment="1" applyProtection="1">
      <alignment horizontal="center" vertical="center" wrapText="1"/>
      <protection hidden="1"/>
    </xf>
    <xf numFmtId="0" fontId="6" fillId="9" borderId="8" xfId="2" applyFont="1" applyFill="1" applyBorder="1" applyAlignment="1" applyProtection="1">
      <alignment horizontal="center" vertical="center" wrapText="1"/>
      <protection hidden="1"/>
    </xf>
    <xf numFmtId="4" fontId="2" fillId="20" borderId="10" xfId="4" applyNumberFormat="1" applyFont="1" applyFill="1" applyBorder="1" applyAlignment="1" applyProtection="1">
      <alignment horizontal="center" vertical="center"/>
      <protection locked="0"/>
    </xf>
    <xf numFmtId="4" fontId="2" fillId="20" borderId="8" xfId="4" applyNumberFormat="1" applyFont="1" applyFill="1" applyBorder="1" applyAlignment="1" applyProtection="1">
      <alignment horizontal="center" vertical="center"/>
      <protection locked="0"/>
    </xf>
    <xf numFmtId="0" fontId="2" fillId="20" borderId="4" xfId="4" applyNumberFormat="1" applyFont="1" applyFill="1" applyBorder="1" applyAlignment="1" applyProtection="1">
      <alignment horizontal="left" vertical="center"/>
      <protection locked="0"/>
    </xf>
    <xf numFmtId="0" fontId="13" fillId="17" borderId="8" xfId="4" applyFont="1" applyFill="1" applyBorder="1" applyAlignment="1" applyProtection="1">
      <alignment horizontal="center" vertical="center" wrapText="1"/>
      <protection hidden="1"/>
    </xf>
    <xf numFmtId="0" fontId="9" fillId="16" borderId="0" xfId="0" applyFont="1" applyFill="1" applyBorder="1" applyAlignment="1" applyProtection="1">
      <alignment horizontal="left" vertical="center" indent="1"/>
      <protection hidden="1"/>
    </xf>
    <xf numFmtId="0" fontId="20" fillId="16" borderId="4" xfId="0" applyFont="1" applyFill="1" applyBorder="1" applyAlignment="1" applyProtection="1">
      <alignment horizontal="center" vertical="center" wrapText="1"/>
      <protection hidden="1"/>
    </xf>
    <xf numFmtId="0" fontId="20" fillId="16" borderId="10" xfId="0" applyFont="1" applyFill="1" applyBorder="1" applyAlignment="1" applyProtection="1">
      <alignment horizontal="center" vertical="center" wrapText="1"/>
      <protection hidden="1"/>
    </xf>
    <xf numFmtId="0" fontId="20" fillId="16" borderId="8" xfId="2" applyFont="1" applyFill="1" applyBorder="1" applyAlignment="1" applyProtection="1">
      <alignment horizontal="center" vertical="center" wrapText="1"/>
      <protection hidden="1"/>
    </xf>
    <xf numFmtId="0" fontId="20" fillId="16" borderId="4" xfId="2" applyFont="1" applyFill="1" applyBorder="1" applyAlignment="1" applyProtection="1">
      <alignment horizontal="center" vertical="center" wrapText="1"/>
      <protection hidden="1"/>
    </xf>
    <xf numFmtId="0" fontId="2" fillId="4" borderId="35" xfId="0" applyFont="1" applyFill="1" applyBorder="1" applyAlignment="1" applyProtection="1">
      <alignment horizontal="left" vertical="center" wrapText="1" indent="1"/>
      <protection hidden="1"/>
    </xf>
    <xf numFmtId="0" fontId="2" fillId="4" borderId="3" xfId="0" applyFont="1" applyFill="1" applyBorder="1" applyAlignment="1" applyProtection="1">
      <alignment horizontal="left" vertical="center" wrapText="1" indent="1"/>
      <protection hidden="1"/>
    </xf>
    <xf numFmtId="0" fontId="2" fillId="4" borderId="36" xfId="0" applyFont="1" applyFill="1" applyBorder="1" applyAlignment="1" applyProtection="1">
      <alignment horizontal="left" vertical="center" wrapText="1" indent="1"/>
      <protection hidden="1"/>
    </xf>
    <xf numFmtId="0" fontId="2" fillId="4" borderId="31" xfId="0" applyFont="1" applyFill="1" applyBorder="1" applyAlignment="1" applyProtection="1">
      <alignment horizontal="left" vertical="center" wrapText="1" indent="1"/>
      <protection hidden="1"/>
    </xf>
    <xf numFmtId="0" fontId="20" fillId="16" borderId="25" xfId="2" applyFont="1" applyFill="1" applyBorder="1" applyAlignment="1" applyProtection="1">
      <alignment horizontal="left" vertical="center" wrapText="1" indent="1"/>
      <protection hidden="1"/>
    </xf>
    <xf numFmtId="0" fontId="20" fillId="16" borderId="26" xfId="2" applyFont="1" applyFill="1" applyBorder="1" applyAlignment="1" applyProtection="1">
      <alignment horizontal="left" vertical="center" wrapText="1" indent="1"/>
      <protection hidden="1"/>
    </xf>
    <xf numFmtId="0" fontId="51" fillId="13" borderId="4" xfId="0" applyFont="1" applyFill="1" applyBorder="1" applyAlignment="1" applyProtection="1">
      <alignment horizontal="center" vertical="center" wrapText="1"/>
      <protection hidden="1"/>
    </xf>
    <xf numFmtId="0" fontId="127" fillId="10" borderId="4" xfId="3" applyFont="1" applyFill="1" applyBorder="1" applyAlignment="1">
      <alignment horizontal="left" vertical="center" indent="1"/>
    </xf>
    <xf numFmtId="0" fontId="5" fillId="13" borderId="0" xfId="2" applyFont="1" applyFill="1" applyAlignment="1">
      <alignment horizontal="center" vertical="center" wrapText="1"/>
    </xf>
    <xf numFmtId="0" fontId="5" fillId="13" borderId="10" xfId="0" applyFont="1" applyFill="1" applyBorder="1" applyAlignment="1" applyProtection="1">
      <alignment horizontal="left" vertical="center" indent="1"/>
      <protection hidden="1"/>
    </xf>
    <xf numFmtId="0" fontId="5" fillId="13" borderId="8" xfId="0" applyFont="1" applyFill="1" applyBorder="1" applyAlignment="1" applyProtection="1">
      <alignment horizontal="left" vertical="center" indent="1"/>
      <protection hidden="1"/>
    </xf>
    <xf numFmtId="0" fontId="50" fillId="13" borderId="0" xfId="2" applyFont="1" applyFill="1" applyAlignment="1">
      <alignment horizontal="left" vertical="center"/>
    </xf>
    <xf numFmtId="0" fontId="5" fillId="13" borderId="0" xfId="2" applyFont="1" applyFill="1" applyAlignment="1" applyProtection="1">
      <alignment horizontal="left" vertical="top" wrapText="1"/>
      <protection hidden="1"/>
    </xf>
    <xf numFmtId="0" fontId="51" fillId="13" borderId="4" xfId="0" applyFont="1" applyFill="1" applyBorder="1" applyAlignment="1" applyProtection="1">
      <alignment horizontal="left" vertical="center" indent="1"/>
      <protection hidden="1"/>
    </xf>
    <xf numFmtId="0" fontId="10" fillId="13" borderId="0" xfId="0" applyFont="1" applyFill="1" applyBorder="1" applyAlignment="1" applyProtection="1">
      <alignment horizontal="left" vertical="center" indent="1"/>
      <protection hidden="1"/>
    </xf>
    <xf numFmtId="0" fontId="14" fillId="20" borderId="90" xfId="0" applyFont="1" applyFill="1" applyBorder="1" applyAlignment="1" applyProtection="1">
      <alignment horizontal="center" vertical="center" wrapText="1"/>
      <protection locked="0"/>
    </xf>
    <xf numFmtId="0" fontId="14" fillId="20" borderId="91" xfId="0" applyFont="1" applyFill="1" applyBorder="1" applyAlignment="1" applyProtection="1">
      <alignment horizontal="center" vertical="center" wrapText="1"/>
      <protection locked="0"/>
    </xf>
    <xf numFmtId="0" fontId="14" fillId="20" borderId="80" xfId="0" applyFont="1" applyFill="1" applyBorder="1" applyAlignment="1" applyProtection="1">
      <alignment horizontal="center" vertical="center" wrapText="1"/>
      <protection locked="0"/>
    </xf>
    <xf numFmtId="0" fontId="17" fillId="13" borderId="10" xfId="0" applyFont="1" applyFill="1" applyBorder="1" applyAlignment="1" applyProtection="1">
      <alignment horizontal="center" vertical="center" wrapText="1"/>
      <protection hidden="1"/>
    </xf>
    <xf numFmtId="0" fontId="17" fillId="13" borderId="8" xfId="0" applyFont="1" applyFill="1" applyBorder="1" applyAlignment="1" applyProtection="1">
      <alignment horizontal="center" vertical="center" wrapText="1"/>
      <protection hidden="1"/>
    </xf>
    <xf numFmtId="0" fontId="13" fillId="13" borderId="10" xfId="0" applyFont="1" applyFill="1" applyBorder="1" applyAlignment="1" applyProtection="1">
      <alignment horizontal="left" vertical="center" indent="1"/>
      <protection hidden="1"/>
    </xf>
    <xf numFmtId="0" fontId="13" fillId="13" borderId="7" xfId="0" applyFont="1" applyFill="1" applyBorder="1" applyAlignment="1" applyProtection="1">
      <alignment horizontal="left" vertical="center" indent="1"/>
      <protection hidden="1"/>
    </xf>
    <xf numFmtId="0" fontId="13" fillId="13" borderId="7" xfId="0" applyFont="1" applyFill="1" applyBorder="1" applyAlignment="1" applyProtection="1">
      <alignment horizontal="center" vertical="center"/>
      <protection hidden="1"/>
    </xf>
    <xf numFmtId="0" fontId="13" fillId="13" borderId="8" xfId="0" applyFont="1" applyFill="1" applyBorder="1" applyAlignment="1" applyProtection="1">
      <alignment horizontal="center" vertical="center"/>
      <protection hidden="1"/>
    </xf>
    <xf numFmtId="0" fontId="20" fillId="13" borderId="28" xfId="2" applyFont="1" applyFill="1" applyBorder="1" applyAlignment="1">
      <alignment horizontal="left" vertical="center" wrapText="1" indent="1"/>
    </xf>
    <xf numFmtId="0" fontId="20" fillId="13" borderId="29" xfId="2" applyFont="1" applyFill="1" applyBorder="1" applyAlignment="1">
      <alignment horizontal="left" vertical="center" wrapText="1" indent="1"/>
    </xf>
    <xf numFmtId="0" fontId="2" fillId="10" borderId="60" xfId="2" applyFill="1" applyBorder="1" applyAlignment="1">
      <alignment horizontal="left" indent="7"/>
    </xf>
    <xf numFmtId="0" fontId="2" fillId="10" borderId="61" xfId="2" applyFill="1" applyBorder="1" applyAlignment="1">
      <alignment horizontal="left" indent="7"/>
    </xf>
    <xf numFmtId="0" fontId="2" fillId="10" borderId="62" xfId="2" applyFill="1" applyBorder="1" applyAlignment="1">
      <alignment horizontal="left" indent="7"/>
    </xf>
    <xf numFmtId="0" fontId="2" fillId="18" borderId="20" xfId="2" applyFont="1" applyFill="1" applyBorder="1" applyAlignment="1" applyProtection="1">
      <alignment horizontal="center" vertical="center"/>
      <protection hidden="1"/>
    </xf>
    <xf numFmtId="0" fontId="2" fillId="18" borderId="24" xfId="2" applyFont="1" applyFill="1" applyBorder="1" applyAlignment="1" applyProtection="1">
      <alignment horizontal="center" vertical="center"/>
      <protection hidden="1"/>
    </xf>
    <xf numFmtId="0" fontId="9" fillId="13" borderId="0" xfId="0" applyFont="1" applyFill="1" applyBorder="1" applyAlignment="1" applyProtection="1">
      <alignment horizontal="left" vertical="center" indent="1"/>
      <protection hidden="1"/>
    </xf>
    <xf numFmtId="0" fontId="17" fillId="13" borderId="4" xfId="0" applyFont="1" applyFill="1" applyBorder="1" applyAlignment="1" applyProtection="1">
      <alignment horizontal="center" vertical="center" wrapText="1"/>
      <protection hidden="1"/>
    </xf>
    <xf numFmtId="0" fontId="13" fillId="13" borderId="79" xfId="0" applyFont="1" applyFill="1" applyBorder="1" applyAlignment="1" applyProtection="1">
      <alignment horizontal="center" vertical="center"/>
      <protection hidden="1"/>
    </xf>
    <xf numFmtId="0" fontId="13" fillId="13" borderId="78" xfId="0" applyFont="1" applyFill="1" applyBorder="1" applyAlignment="1" applyProtection="1">
      <alignment horizontal="center" vertical="center"/>
      <protection hidden="1"/>
    </xf>
    <xf numFmtId="0" fontId="17" fillId="13" borderId="4" xfId="0" applyFont="1" applyFill="1" applyBorder="1" applyAlignment="1" applyProtection="1">
      <alignment horizontal="center" vertical="center"/>
      <protection hidden="1"/>
    </xf>
    <xf numFmtId="0" fontId="14" fillId="20" borderId="31" xfId="0" applyFont="1" applyFill="1" applyBorder="1" applyAlignment="1" applyProtection="1">
      <alignment horizontal="center" vertical="center" wrapText="1"/>
      <protection locked="0"/>
    </xf>
    <xf numFmtId="0" fontId="2" fillId="11" borderId="25" xfId="2" applyFont="1" applyFill="1" applyBorder="1" applyAlignment="1">
      <alignment horizontal="left" vertical="center" wrapText="1" indent="1"/>
    </xf>
    <xf numFmtId="0" fontId="2" fillId="11" borderId="26" xfId="2" applyFont="1" applyFill="1" applyBorder="1" applyAlignment="1">
      <alignment horizontal="left" vertical="center" wrapText="1" indent="1"/>
    </xf>
    <xf numFmtId="0" fontId="2" fillId="11" borderId="27" xfId="2" applyFont="1" applyFill="1" applyBorder="1" applyAlignment="1">
      <alignment horizontal="left" vertical="center" wrapText="1" indent="1"/>
    </xf>
    <xf numFmtId="0" fontId="5" fillId="6" borderId="10" xfId="0" applyFont="1" applyFill="1" applyBorder="1" applyAlignment="1" applyProtection="1">
      <alignment horizontal="left" vertical="center" indent="1"/>
      <protection hidden="1"/>
    </xf>
    <xf numFmtId="0" fontId="5" fillId="6" borderId="8" xfId="0" applyFont="1" applyFill="1" applyBorder="1" applyAlignment="1" applyProtection="1">
      <alignment horizontal="left" vertical="center" indent="1"/>
      <protection hidden="1"/>
    </xf>
    <xf numFmtId="0" fontId="50" fillId="6" borderId="33" xfId="2" applyFont="1" applyFill="1" applyBorder="1" applyAlignment="1">
      <alignment horizontal="left" vertical="center" wrapText="1"/>
    </xf>
    <xf numFmtId="0" fontId="50" fillId="6" borderId="0" xfId="2" applyFont="1" applyFill="1" applyBorder="1" applyAlignment="1">
      <alignment horizontal="left" vertical="center" wrapText="1"/>
    </xf>
    <xf numFmtId="0" fontId="51" fillId="6" borderId="32" xfId="0" applyFont="1" applyFill="1" applyBorder="1" applyAlignment="1" applyProtection="1">
      <alignment horizontal="left" vertical="center" indent="1"/>
      <protection hidden="1"/>
    </xf>
    <xf numFmtId="0" fontId="51" fillId="6" borderId="34" xfId="0" applyFont="1" applyFill="1" applyBorder="1" applyAlignment="1" applyProtection="1">
      <alignment horizontal="left" vertical="center" indent="1"/>
      <protection hidden="1"/>
    </xf>
    <xf numFmtId="0" fontId="51" fillId="6" borderId="35" xfId="0" applyFont="1" applyFill="1" applyBorder="1" applyAlignment="1" applyProtection="1">
      <alignment horizontal="left" vertical="center" indent="1"/>
      <protection hidden="1"/>
    </xf>
    <xf numFmtId="0" fontId="51" fillId="6" borderId="36" xfId="0" applyFont="1" applyFill="1" applyBorder="1" applyAlignment="1" applyProtection="1">
      <alignment horizontal="left" vertical="center" indent="1"/>
      <protection hidden="1"/>
    </xf>
    <xf numFmtId="0" fontId="51" fillId="6" borderId="4" xfId="0" applyFont="1" applyFill="1" applyBorder="1" applyAlignment="1" applyProtection="1">
      <alignment horizontal="center" vertical="center" wrapText="1"/>
      <protection hidden="1"/>
    </xf>
    <xf numFmtId="0" fontId="129" fillId="10" borderId="4" xfId="3" applyFont="1" applyFill="1" applyBorder="1" applyAlignment="1">
      <alignment horizontal="left" vertical="center" indent="1"/>
    </xf>
    <xf numFmtId="0" fontId="5" fillId="6" borderId="0" xfId="2" applyFont="1" applyFill="1" applyBorder="1" applyAlignment="1" applyProtection="1">
      <alignment horizontal="left" vertical="top" wrapText="1"/>
      <protection hidden="1"/>
    </xf>
    <xf numFmtId="0" fontId="10" fillId="6" borderId="0" xfId="0" applyFont="1" applyFill="1" applyBorder="1" applyAlignment="1" applyProtection="1">
      <alignment horizontal="left" vertical="center" indent="1"/>
      <protection hidden="1"/>
    </xf>
    <xf numFmtId="166" fontId="14" fillId="20" borderId="10" xfId="0" applyNumberFormat="1" applyFont="1" applyFill="1" applyBorder="1" applyAlignment="1" applyProtection="1">
      <alignment horizontal="center" vertical="center" wrapText="1"/>
      <protection locked="0"/>
    </xf>
    <xf numFmtId="166" fontId="14" fillId="20" borderId="8" xfId="0" applyNumberFormat="1" applyFont="1" applyFill="1" applyBorder="1" applyAlignment="1" applyProtection="1">
      <alignment horizontal="center" vertical="center" wrapText="1"/>
      <protection locked="0"/>
    </xf>
    <xf numFmtId="0" fontId="20" fillId="6" borderId="28" xfId="2" applyFont="1" applyFill="1" applyBorder="1" applyAlignment="1" applyProtection="1">
      <alignment horizontal="left" vertical="center" wrapText="1" indent="1"/>
      <protection hidden="1"/>
    </xf>
    <xf numFmtId="0" fontId="20" fillId="6" borderId="29" xfId="2" applyFont="1" applyFill="1" applyBorder="1" applyAlignment="1" applyProtection="1">
      <alignment horizontal="left" vertical="center" wrapText="1" indent="1"/>
      <protection hidden="1"/>
    </xf>
    <xf numFmtId="0" fontId="2" fillId="11" borderId="30" xfId="2" applyFont="1" applyFill="1" applyBorder="1" applyAlignment="1" applyProtection="1">
      <alignment horizontal="left" vertical="center" wrapText="1" indent="1"/>
      <protection hidden="1"/>
    </xf>
    <xf numFmtId="0" fontId="13" fillId="6" borderId="3" xfId="0" applyFont="1" applyFill="1" applyBorder="1" applyAlignment="1" applyProtection="1">
      <alignment horizontal="center" vertical="center" wrapText="1"/>
      <protection hidden="1"/>
    </xf>
    <xf numFmtId="166" fontId="14" fillId="10" borderId="65" xfId="0" applyNumberFormat="1" applyFont="1" applyFill="1" applyBorder="1" applyAlignment="1" applyProtection="1">
      <alignment horizontal="center" vertical="center" wrapText="1"/>
      <protection hidden="1"/>
    </xf>
    <xf numFmtId="0" fontId="2" fillId="2" borderId="0" xfId="2" applyFill="1" applyBorder="1" applyAlignment="1" applyProtection="1">
      <alignment horizontal="left" vertical="center" indent="5"/>
      <protection hidden="1"/>
    </xf>
    <xf numFmtId="0" fontId="2" fillId="20" borderId="20" xfId="2" applyFont="1" applyFill="1" applyBorder="1" applyAlignment="1" applyProtection="1">
      <alignment horizontal="center" vertical="center"/>
      <protection locked="0"/>
    </xf>
    <xf numFmtId="0" fontId="2" fillId="20" borderId="21" xfId="2" applyFont="1" applyFill="1" applyBorder="1" applyAlignment="1" applyProtection="1">
      <alignment horizontal="center" vertical="center"/>
      <protection locked="0"/>
    </xf>
    <xf numFmtId="0" fontId="2" fillId="2" borderId="0" xfId="2" applyFill="1" applyAlignment="1" applyProtection="1">
      <alignment horizontal="left" wrapText="1" indent="6"/>
      <protection hidden="1"/>
    </xf>
    <xf numFmtId="0" fontId="14" fillId="20" borderId="38" xfId="0" applyNumberFormat="1" applyFont="1" applyFill="1" applyBorder="1" applyAlignment="1" applyProtection="1">
      <alignment horizontal="center" vertical="center" wrapText="1"/>
      <protection locked="0"/>
    </xf>
    <xf numFmtId="0" fontId="14" fillId="20" borderId="0" xfId="0" applyNumberFormat="1"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protection hidden="1"/>
    </xf>
    <xf numFmtId="0" fontId="13" fillId="6" borderId="8" xfId="0" applyFont="1" applyFill="1" applyBorder="1" applyAlignment="1" applyProtection="1">
      <alignment horizontal="center" vertical="center"/>
      <protection hidden="1"/>
    </xf>
    <xf numFmtId="0" fontId="2" fillId="2" borderId="0" xfId="2" applyFont="1" applyFill="1" applyBorder="1" applyAlignment="1" applyProtection="1">
      <alignment horizontal="left" vertical="center" wrapText="1" indent="2"/>
      <protection hidden="1"/>
    </xf>
    <xf numFmtId="0" fontId="9" fillId="6" borderId="0" xfId="0" applyFont="1" applyFill="1" applyBorder="1" applyAlignment="1" applyProtection="1">
      <alignment horizontal="left" vertical="center" indent="1"/>
      <protection hidden="1"/>
    </xf>
    <xf numFmtId="0" fontId="13" fillId="6" borderId="0" xfId="0" applyFont="1" applyFill="1" applyBorder="1" applyAlignment="1" applyProtection="1">
      <alignment horizontal="center" vertical="center"/>
      <protection hidden="1"/>
    </xf>
    <xf numFmtId="0" fontId="13" fillId="6" borderId="10" xfId="0" applyFont="1" applyFill="1" applyBorder="1" applyAlignment="1" applyProtection="1">
      <alignment horizontal="left" vertical="center" indent="1"/>
      <protection hidden="1"/>
    </xf>
    <xf numFmtId="0" fontId="13" fillId="6" borderId="7" xfId="0" applyFont="1" applyFill="1" applyBorder="1" applyAlignment="1" applyProtection="1">
      <alignment horizontal="left" vertical="center" indent="1"/>
      <protection hidden="1"/>
    </xf>
    <xf numFmtId="0" fontId="13" fillId="6" borderId="10" xfId="0" applyFont="1" applyFill="1" applyBorder="1" applyAlignment="1" applyProtection="1">
      <alignment horizontal="left" vertical="center" wrapText="1" indent="1"/>
      <protection hidden="1"/>
    </xf>
    <xf numFmtId="0" fontId="13" fillId="6" borderId="7" xfId="0" applyFont="1" applyFill="1" applyBorder="1" applyAlignment="1" applyProtection="1">
      <alignment horizontal="left" vertical="center" wrapText="1" indent="1"/>
      <protection hidden="1"/>
    </xf>
    <xf numFmtId="0" fontId="17" fillId="6" borderId="4" xfId="0" applyFont="1" applyFill="1" applyBorder="1" applyAlignment="1" applyProtection="1">
      <alignment horizontal="center" vertical="center"/>
      <protection hidden="1"/>
    </xf>
    <xf numFmtId="0" fontId="21" fillId="2" borderId="0" xfId="0" applyFont="1" applyFill="1" applyBorder="1" applyAlignment="1" applyProtection="1">
      <alignment horizontal="left" wrapText="1" indent="5"/>
      <protection hidden="1"/>
    </xf>
    <xf numFmtId="0" fontId="2" fillId="18" borderId="28" xfId="2" applyFont="1" applyFill="1" applyBorder="1" applyAlignment="1" applyProtection="1">
      <alignment horizontal="center" vertical="center"/>
      <protection hidden="1"/>
    </xf>
    <xf numFmtId="0" fontId="2" fillId="18" borderId="29" xfId="2" applyFont="1" applyFill="1" applyBorder="1" applyAlignment="1" applyProtection="1">
      <alignment horizontal="center" vertical="center"/>
      <protection hidden="1"/>
    </xf>
    <xf numFmtId="0" fontId="2" fillId="4" borderId="4" xfId="2" applyFont="1" applyFill="1" applyBorder="1" applyAlignment="1" applyProtection="1">
      <alignment horizontal="center" vertical="center"/>
      <protection hidden="1"/>
    </xf>
    <xf numFmtId="0" fontId="153" fillId="2" borderId="38" xfId="2" applyFont="1" applyFill="1" applyBorder="1" applyAlignment="1" applyProtection="1">
      <alignment horizontal="center" vertical="center"/>
      <protection hidden="1"/>
    </xf>
    <xf numFmtId="0" fontId="153" fillId="2" borderId="0" xfId="2" applyFont="1" applyFill="1" applyAlignment="1" applyProtection="1">
      <alignment horizontal="center" vertical="center"/>
      <protection hidden="1"/>
    </xf>
    <xf numFmtId="0" fontId="13" fillId="6" borderId="7" xfId="0" applyFont="1" applyFill="1" applyBorder="1" applyAlignment="1" applyProtection="1">
      <alignment horizontal="center" vertical="center" wrapText="1"/>
      <protection hidden="1"/>
    </xf>
    <xf numFmtId="0" fontId="2" fillId="2" borderId="71" xfId="2" applyFill="1" applyBorder="1" applyAlignment="1" applyProtection="1">
      <alignment horizontal="right" indent="1"/>
      <protection hidden="1"/>
    </xf>
    <xf numFmtId="0" fontId="2" fillId="2" borderId="0" xfId="2" applyFill="1" applyAlignment="1" applyProtection="1">
      <alignment horizontal="right" indent="1"/>
      <protection hidden="1"/>
    </xf>
    <xf numFmtId="0" fontId="13" fillId="6" borderId="77" xfId="0" applyFont="1" applyFill="1" applyBorder="1" applyAlignment="1" applyProtection="1">
      <alignment horizontal="center" vertical="center" wrapText="1"/>
      <protection hidden="1"/>
    </xf>
    <xf numFmtId="0" fontId="13" fillId="6" borderId="78" xfId="0" applyFont="1" applyFill="1" applyBorder="1" applyAlignment="1" applyProtection="1">
      <alignment horizontal="center" vertical="center" wrapText="1"/>
      <protection hidden="1"/>
    </xf>
    <xf numFmtId="0" fontId="14" fillId="4" borderId="65" xfId="0" applyFont="1" applyFill="1" applyBorder="1" applyAlignment="1" applyProtection="1">
      <alignment horizontal="center" vertical="center" wrapText="1"/>
      <protection hidden="1"/>
    </xf>
    <xf numFmtId="0" fontId="13" fillId="6" borderId="79" xfId="0" applyFont="1" applyFill="1" applyBorder="1" applyAlignment="1" applyProtection="1">
      <alignment horizontal="center" vertical="center"/>
      <protection hidden="1"/>
    </xf>
    <xf numFmtId="0" fontId="13" fillId="6" borderId="78" xfId="0" applyFont="1" applyFill="1" applyBorder="1" applyAlignment="1" applyProtection="1">
      <alignment horizontal="center" vertical="center"/>
      <protection hidden="1"/>
    </xf>
    <xf numFmtId="0" fontId="2" fillId="10" borderId="63" xfId="2" applyFill="1" applyBorder="1" applyAlignment="1" applyProtection="1">
      <alignment horizontal="left" wrapText="1" indent="8"/>
      <protection hidden="1"/>
    </xf>
    <xf numFmtId="0" fontId="2" fillId="10" borderId="0" xfId="2" applyFill="1" applyBorder="1" applyAlignment="1" applyProtection="1">
      <alignment horizontal="left" wrapText="1" indent="8"/>
      <protection hidden="1"/>
    </xf>
    <xf numFmtId="0" fontId="2" fillId="10" borderId="64" xfId="2" applyFill="1" applyBorder="1" applyAlignment="1" applyProtection="1">
      <alignment horizontal="left" wrapText="1" indent="8"/>
      <protection hidden="1"/>
    </xf>
    <xf numFmtId="0" fontId="2" fillId="10" borderId="25" xfId="2" applyFill="1" applyBorder="1" applyAlignment="1" applyProtection="1">
      <alignment horizontal="left" wrapText="1" indent="8"/>
      <protection hidden="1"/>
    </xf>
    <xf numFmtId="0" fontId="2" fillId="10" borderId="26" xfId="2" applyFill="1" applyBorder="1" applyAlignment="1" applyProtection="1">
      <alignment horizontal="left" wrapText="1" indent="8"/>
      <protection hidden="1"/>
    </xf>
    <xf numFmtId="0" fontId="2" fillId="10" borderId="27" xfId="2" applyFill="1" applyBorder="1" applyAlignment="1" applyProtection="1">
      <alignment horizontal="left" wrapText="1" indent="8"/>
      <protection hidden="1"/>
    </xf>
    <xf numFmtId="0" fontId="2" fillId="10" borderId="63" xfId="2" applyFont="1" applyFill="1" applyBorder="1" applyAlignment="1" applyProtection="1">
      <alignment horizontal="left" vertical="center" wrapText="1" indent="8"/>
      <protection hidden="1"/>
    </xf>
    <xf numFmtId="0" fontId="2" fillId="10" borderId="0" xfId="2" applyFont="1" applyFill="1" applyBorder="1" applyAlignment="1" applyProtection="1">
      <alignment horizontal="left" vertical="center" wrapText="1" indent="8"/>
      <protection hidden="1"/>
    </xf>
    <xf numFmtId="0" fontId="2" fillId="10" borderId="64" xfId="2" applyFont="1" applyFill="1" applyBorder="1" applyAlignment="1" applyProtection="1">
      <alignment horizontal="left" vertical="center" wrapText="1" indent="8"/>
      <protection hidden="1"/>
    </xf>
    <xf numFmtId="0" fontId="20" fillId="6" borderId="20" xfId="2" applyFont="1" applyFill="1" applyBorder="1" applyAlignment="1" applyProtection="1">
      <alignment horizontal="left" vertical="center" wrapText="1" indent="1"/>
      <protection hidden="1"/>
    </xf>
    <xf numFmtId="0" fontId="20" fillId="6" borderId="24" xfId="2" applyFont="1" applyFill="1" applyBorder="1" applyAlignment="1" applyProtection="1">
      <alignment horizontal="left" vertical="center" wrapText="1" indent="1"/>
      <protection hidden="1"/>
    </xf>
    <xf numFmtId="0" fontId="2" fillId="10" borderId="69" xfId="2" applyFont="1" applyFill="1" applyBorder="1" applyAlignment="1" applyProtection="1">
      <alignment horizontal="left" indent="6"/>
      <protection hidden="1"/>
    </xf>
    <xf numFmtId="0" fontId="2" fillId="10" borderId="68" xfId="2" applyFont="1" applyFill="1" applyBorder="1" applyAlignment="1" applyProtection="1">
      <alignment horizontal="left" indent="6"/>
      <protection hidden="1"/>
    </xf>
    <xf numFmtId="0" fontId="2" fillId="10" borderId="70" xfId="2" applyFont="1" applyFill="1" applyBorder="1" applyAlignment="1" applyProtection="1">
      <alignment horizontal="left" indent="6"/>
      <protection hidden="1"/>
    </xf>
    <xf numFmtId="0" fontId="40" fillId="6" borderId="0" xfId="0" applyFont="1" applyFill="1" applyBorder="1" applyAlignment="1" applyProtection="1">
      <alignment horizontal="left" vertical="center" indent="1"/>
      <protection hidden="1"/>
    </xf>
    <xf numFmtId="0" fontId="13" fillId="6" borderId="8" xfId="0" applyFont="1" applyFill="1" applyBorder="1" applyAlignment="1" applyProtection="1">
      <alignment horizontal="center" vertical="center" wrapText="1"/>
      <protection hidden="1"/>
    </xf>
    <xf numFmtId="0" fontId="2" fillId="10" borderId="71" xfId="2" applyFill="1" applyBorder="1" applyAlignment="1" applyProtection="1">
      <alignment horizontal="left" indent="7"/>
      <protection hidden="1"/>
    </xf>
    <xf numFmtId="0" fontId="2" fillId="10" borderId="72" xfId="2" applyFill="1" applyBorder="1" applyAlignment="1" applyProtection="1">
      <alignment horizontal="left" indent="7"/>
      <protection hidden="1"/>
    </xf>
    <xf numFmtId="166" fontId="14" fillId="20" borderId="4" xfId="0" applyNumberFormat="1" applyFont="1" applyFill="1" applyBorder="1" applyAlignment="1" applyProtection="1">
      <alignment horizontal="center" vertical="center" wrapText="1"/>
      <protection locked="0"/>
    </xf>
    <xf numFmtId="0" fontId="22" fillId="10" borderId="73" xfId="2" applyFont="1" applyFill="1" applyBorder="1" applyAlignment="1" applyProtection="1">
      <alignment horizontal="left" indent="6"/>
      <protection hidden="1"/>
    </xf>
    <xf numFmtId="0" fontId="22" fillId="10" borderId="6" xfId="2" applyFont="1" applyFill="1" applyBorder="1" applyAlignment="1" applyProtection="1">
      <alignment horizontal="left" indent="6"/>
      <protection hidden="1"/>
    </xf>
    <xf numFmtId="0" fontId="22" fillId="10" borderId="74" xfId="2" applyFont="1" applyFill="1" applyBorder="1" applyAlignment="1" applyProtection="1">
      <alignment horizontal="left" indent="6"/>
      <protection hidden="1"/>
    </xf>
    <xf numFmtId="0" fontId="17" fillId="6" borderId="10" xfId="0" applyFont="1" applyFill="1" applyBorder="1" applyAlignment="1" applyProtection="1">
      <alignment horizontal="center" vertical="center"/>
      <protection hidden="1"/>
    </xf>
    <xf numFmtId="0" fontId="17" fillId="6" borderId="7" xfId="0" applyFont="1" applyFill="1" applyBorder="1" applyAlignment="1" applyProtection="1">
      <alignment horizontal="center" vertical="center"/>
      <protection hidden="1"/>
    </xf>
    <xf numFmtId="0" fontId="17" fillId="6" borderId="8" xfId="0" applyFont="1" applyFill="1" applyBorder="1" applyAlignment="1" applyProtection="1">
      <alignment horizontal="center" vertical="center"/>
      <protection hidden="1"/>
    </xf>
    <xf numFmtId="0" fontId="2" fillId="4" borderId="10" xfId="0" applyFont="1" applyFill="1" applyBorder="1" applyAlignment="1">
      <alignment horizontal="left" vertical="center" wrapText="1" indent="1"/>
    </xf>
    <xf numFmtId="0" fontId="2" fillId="4" borderId="7" xfId="0" applyFont="1" applyFill="1" applyBorder="1" applyAlignment="1">
      <alignment horizontal="left" vertical="center" wrapText="1" indent="1"/>
    </xf>
    <xf numFmtId="10" fontId="14" fillId="20" borderId="10" xfId="1" applyNumberFormat="1" applyFont="1" applyFill="1" applyBorder="1" applyAlignment="1" applyProtection="1">
      <alignment horizontal="center" vertical="center" wrapText="1"/>
      <protection locked="0"/>
    </xf>
    <xf numFmtId="10" fontId="14" fillId="20" borderId="8" xfId="1" applyNumberFormat="1" applyFont="1" applyFill="1" applyBorder="1" applyAlignment="1" applyProtection="1">
      <alignment horizontal="center" vertical="center" wrapText="1"/>
      <protection locked="0"/>
    </xf>
    <xf numFmtId="0" fontId="10" fillId="6" borderId="0" xfId="0" applyFont="1" applyFill="1" applyBorder="1" applyAlignment="1" applyProtection="1">
      <alignment horizontal="left" vertical="center" wrapText="1" indent="1"/>
      <protection hidden="1"/>
    </xf>
    <xf numFmtId="0" fontId="2" fillId="11" borderId="5" xfId="2" applyFont="1" applyFill="1" applyBorder="1" applyAlignment="1" applyProtection="1">
      <alignment horizontal="left" vertical="center" wrapText="1"/>
      <protection hidden="1"/>
    </xf>
    <xf numFmtId="0" fontId="14" fillId="10" borderId="31" xfId="0" applyFont="1" applyFill="1" applyBorder="1" applyAlignment="1" applyProtection="1">
      <alignment horizontal="center" vertical="center" wrapText="1"/>
      <protection hidden="1"/>
    </xf>
    <xf numFmtId="0" fontId="72" fillId="2" borderId="0" xfId="2" applyFont="1" applyFill="1" applyAlignment="1" applyProtection="1">
      <alignment horizontal="right" vertical="center" wrapText="1" indent="1"/>
      <protection hidden="1"/>
    </xf>
    <xf numFmtId="0" fontId="72" fillId="2" borderId="26" xfId="2" applyFont="1" applyFill="1" applyBorder="1" applyAlignment="1" applyProtection="1">
      <alignment horizontal="right" vertical="center" wrapText="1" indent="1"/>
      <protection hidden="1"/>
    </xf>
    <xf numFmtId="0" fontId="11" fillId="6" borderId="33"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7" fillId="6" borderId="32" xfId="0" applyFont="1" applyFill="1" applyBorder="1" applyAlignment="1" applyProtection="1">
      <alignment horizontal="center" vertical="center"/>
      <protection hidden="1"/>
    </xf>
    <xf numFmtId="0" fontId="17" fillId="6" borderId="33" xfId="0" applyFont="1" applyFill="1" applyBorder="1" applyAlignment="1" applyProtection="1">
      <alignment horizontal="center" vertical="center"/>
      <protection hidden="1"/>
    </xf>
    <xf numFmtId="0" fontId="17" fillId="6" borderId="34" xfId="0" applyFont="1" applyFill="1" applyBorder="1" applyAlignment="1" applyProtection="1">
      <alignment horizontal="center" vertical="center"/>
      <protection hidden="1"/>
    </xf>
    <xf numFmtId="0" fontId="2" fillId="26" borderId="0" xfId="0" applyFont="1" applyFill="1" applyAlignment="1">
      <alignment horizontal="left" vertical="center" wrapText="1" indent="6"/>
    </xf>
    <xf numFmtId="0" fontId="21" fillId="25" borderId="0" xfId="2" applyFont="1" applyFill="1" applyAlignment="1" applyProtection="1">
      <alignment horizontal="center" vertical="center"/>
      <protection hidden="1"/>
    </xf>
    <xf numFmtId="0" fontId="2" fillId="25" borderId="0" xfId="2" applyFill="1" applyBorder="1" applyAlignment="1" applyProtection="1">
      <alignment horizontal="left" vertical="top" wrapText="1"/>
      <protection hidden="1"/>
    </xf>
    <xf numFmtId="0" fontId="2" fillId="25" borderId="0" xfId="2" applyFill="1" applyBorder="1" applyAlignment="1" applyProtection="1">
      <alignment horizontal="left" vertical="center" wrapText="1"/>
      <protection hidden="1"/>
    </xf>
    <xf numFmtId="0" fontId="21" fillId="25" borderId="0" xfId="2" applyFont="1" applyFill="1" applyAlignment="1" applyProtection="1">
      <alignment horizontal="left" vertical="center" indent="3"/>
      <protection hidden="1"/>
    </xf>
    <xf numFmtId="0" fontId="2" fillId="25" borderId="0" xfId="2" applyFont="1" applyFill="1" applyBorder="1" applyAlignment="1" applyProtection="1">
      <alignment horizontal="left" vertical="center" wrapText="1"/>
      <protection hidden="1"/>
    </xf>
    <xf numFmtId="0" fontId="21" fillId="25" borderId="0" xfId="2" applyFont="1" applyFill="1" applyAlignment="1" applyProtection="1">
      <alignment horizontal="center" vertical="center" wrapText="1"/>
      <protection hidden="1"/>
    </xf>
    <xf numFmtId="0" fontId="20" fillId="6" borderId="5" xfId="2" applyFont="1" applyFill="1" applyBorder="1" applyAlignment="1" applyProtection="1">
      <alignment horizontal="left" vertical="center" wrapText="1"/>
      <protection hidden="1"/>
    </xf>
    <xf numFmtId="0" fontId="20" fillId="6" borderId="20" xfId="2" applyFont="1" applyFill="1" applyBorder="1" applyAlignment="1" applyProtection="1">
      <alignment horizontal="left" vertical="center" wrapText="1"/>
      <protection hidden="1"/>
    </xf>
    <xf numFmtId="0" fontId="20" fillId="6" borderId="21" xfId="2" applyFont="1" applyFill="1" applyBorder="1" applyAlignment="1" applyProtection="1">
      <alignment horizontal="center" vertical="center" wrapText="1"/>
      <protection hidden="1"/>
    </xf>
    <xf numFmtId="0" fontId="20" fillId="6" borderId="20" xfId="2" applyFont="1" applyFill="1" applyBorder="1" applyAlignment="1" applyProtection="1">
      <alignment horizontal="center" vertical="center" wrapText="1"/>
      <protection hidden="1"/>
    </xf>
    <xf numFmtId="0" fontId="11" fillId="6" borderId="4" xfId="0" applyFont="1" applyFill="1" applyBorder="1" applyAlignment="1">
      <alignment horizontal="center" vertical="center" wrapText="1"/>
    </xf>
    <xf numFmtId="0" fontId="11" fillId="6" borderId="4" xfId="0" applyFont="1" applyFill="1" applyBorder="1" applyAlignment="1">
      <alignment wrapText="1"/>
    </xf>
    <xf numFmtId="0" fontId="11" fillId="6" borderId="34" xfId="0" applyFont="1" applyFill="1" applyBorder="1" applyAlignment="1">
      <alignment horizontal="center" vertical="center" wrapText="1"/>
    </xf>
    <xf numFmtId="0" fontId="11" fillId="6" borderId="36" xfId="0" applyFont="1" applyFill="1" applyBorder="1" applyAlignment="1">
      <alignment horizontal="center" vertical="center" wrapText="1"/>
    </xf>
    <xf numFmtId="0" fontId="11" fillId="6" borderId="33" xfId="0" applyFont="1" applyFill="1" applyBorder="1" applyAlignment="1">
      <alignment horizontal="center" vertical="center"/>
    </xf>
    <xf numFmtId="0" fontId="6" fillId="9" borderId="4" xfId="2" applyFont="1" applyFill="1" applyBorder="1" applyAlignment="1" applyProtection="1">
      <alignment horizontal="center" vertical="center" wrapText="1"/>
      <protection hidden="1"/>
    </xf>
    <xf numFmtId="0" fontId="11" fillId="6" borderId="32" xfId="0" applyFont="1" applyFill="1" applyBorder="1" applyAlignment="1">
      <alignment horizontal="center" vertical="center" wrapText="1"/>
    </xf>
    <xf numFmtId="0" fontId="11" fillId="6" borderId="35" xfId="0" applyFont="1" applyFill="1" applyBorder="1"/>
    <xf numFmtId="0" fontId="11" fillId="6" borderId="3" xfId="0" applyFont="1" applyFill="1" applyBorder="1" applyAlignment="1">
      <alignment wrapText="1"/>
    </xf>
    <xf numFmtId="0" fontId="2" fillId="20" borderId="28" xfId="2" applyFont="1" applyFill="1" applyBorder="1" applyAlignment="1" applyProtection="1">
      <alignment horizontal="center" vertical="center"/>
      <protection locked="0"/>
    </xf>
    <xf numFmtId="0" fontId="2" fillId="20" borderId="29" xfId="2" applyFont="1" applyFill="1" applyBorder="1" applyAlignment="1" applyProtection="1">
      <alignment horizontal="center" vertical="center"/>
      <protection locked="0"/>
    </xf>
    <xf numFmtId="0" fontId="2" fillId="20" borderId="30" xfId="2" applyFont="1" applyFill="1" applyBorder="1" applyAlignment="1" applyProtection="1">
      <alignment horizontal="center" vertical="center"/>
      <protection locked="0"/>
    </xf>
    <xf numFmtId="0" fontId="20" fillId="6" borderId="5" xfId="2" applyFont="1" applyFill="1" applyBorder="1" applyAlignment="1" applyProtection="1">
      <alignment horizontal="center" vertical="center" wrapText="1"/>
      <protection hidden="1"/>
    </xf>
    <xf numFmtId="0" fontId="13" fillId="6" borderId="10" xfId="0" applyFont="1" applyFill="1" applyBorder="1" applyAlignment="1" applyProtection="1">
      <alignment horizontal="center" vertical="center"/>
      <protection hidden="1"/>
    </xf>
    <xf numFmtId="0" fontId="13" fillId="6" borderId="4" xfId="0" applyFont="1" applyFill="1" applyBorder="1" applyAlignment="1" applyProtection="1">
      <alignment horizontal="center" vertical="center"/>
      <protection hidden="1"/>
    </xf>
    <xf numFmtId="0" fontId="13" fillId="6" borderId="4" xfId="0" applyFont="1" applyFill="1" applyBorder="1" applyAlignment="1" applyProtection="1">
      <alignment horizontal="left" vertical="center" indent="1"/>
      <protection hidden="1"/>
    </xf>
    <xf numFmtId="0" fontId="2" fillId="10" borderId="63" xfId="2" applyFont="1" applyFill="1" applyBorder="1" applyAlignment="1" applyProtection="1">
      <alignment horizontal="left" vertical="center" indent="7"/>
      <protection hidden="1"/>
    </xf>
    <xf numFmtId="0" fontId="2" fillId="10" borderId="0" xfId="2" applyFont="1" applyFill="1" applyBorder="1" applyAlignment="1" applyProtection="1">
      <alignment horizontal="left" vertical="center" indent="7"/>
      <protection hidden="1"/>
    </xf>
    <xf numFmtId="0" fontId="2" fillId="10" borderId="64" xfId="2" applyFont="1" applyFill="1" applyBorder="1" applyAlignment="1" applyProtection="1">
      <alignment horizontal="left" vertical="center" indent="7"/>
      <protection hidden="1"/>
    </xf>
    <xf numFmtId="0" fontId="2" fillId="10" borderId="25" xfId="2" applyFont="1" applyFill="1" applyBorder="1" applyAlignment="1" applyProtection="1">
      <alignment horizontal="left" vertical="center" indent="7"/>
      <protection hidden="1"/>
    </xf>
    <xf numFmtId="0" fontId="2" fillId="10" borderId="26" xfId="2" applyFont="1" applyFill="1" applyBorder="1" applyAlignment="1" applyProtection="1">
      <alignment horizontal="left" vertical="center" indent="7"/>
      <protection hidden="1"/>
    </xf>
    <xf numFmtId="0" fontId="2" fillId="10" borderId="27" xfId="2" applyFont="1" applyFill="1" applyBorder="1" applyAlignment="1" applyProtection="1">
      <alignment horizontal="left" vertical="center" indent="7"/>
      <protection hidden="1"/>
    </xf>
    <xf numFmtId="0" fontId="2" fillId="11" borderId="20" xfId="2" applyFont="1" applyFill="1" applyBorder="1" applyAlignment="1" applyProtection="1">
      <alignment horizontal="left" vertical="center" wrapText="1" indent="1"/>
      <protection hidden="1"/>
    </xf>
    <xf numFmtId="0" fontId="2" fillId="11" borderId="24" xfId="2" applyFont="1" applyFill="1" applyBorder="1" applyAlignment="1" applyProtection="1">
      <alignment horizontal="left" vertical="center" wrapText="1" indent="1"/>
      <protection hidden="1"/>
    </xf>
    <xf numFmtId="0" fontId="2" fillId="11" borderId="21" xfId="2" applyFont="1" applyFill="1" applyBorder="1" applyAlignment="1" applyProtection="1">
      <alignment horizontal="left" vertical="center" wrapText="1" indent="1"/>
      <protection hidden="1"/>
    </xf>
    <xf numFmtId="166" fontId="14" fillId="20" borderId="37" xfId="0" applyNumberFormat="1" applyFont="1" applyFill="1" applyBorder="1" applyAlignment="1" applyProtection="1">
      <alignment horizontal="center" vertical="center" wrapText="1"/>
      <protection locked="0"/>
    </xf>
    <xf numFmtId="166" fontId="14" fillId="20" borderId="75" xfId="0" applyNumberFormat="1" applyFont="1" applyFill="1" applyBorder="1" applyAlignment="1" applyProtection="1">
      <alignment horizontal="center" vertical="center" wrapText="1"/>
      <protection locked="0"/>
    </xf>
    <xf numFmtId="166" fontId="14" fillId="20" borderId="31" xfId="0" applyNumberFormat="1" applyFont="1" applyFill="1" applyBorder="1" applyAlignment="1" applyProtection="1">
      <alignment horizontal="center" vertical="center" wrapText="1"/>
      <protection locked="0"/>
    </xf>
    <xf numFmtId="0" fontId="14" fillId="4" borderId="37" xfId="1" applyNumberFormat="1" applyFont="1" applyFill="1" applyBorder="1" applyAlignment="1" applyProtection="1">
      <alignment horizontal="center" vertical="center" wrapText="1"/>
      <protection hidden="1"/>
    </xf>
    <xf numFmtId="0" fontId="14" fillId="4" borderId="75" xfId="1" applyNumberFormat="1" applyFont="1" applyFill="1" applyBorder="1" applyAlignment="1" applyProtection="1">
      <alignment horizontal="center" vertical="center" wrapText="1"/>
      <protection hidden="1"/>
    </xf>
    <xf numFmtId="0" fontId="14" fillId="4" borderId="31" xfId="1" applyNumberFormat="1" applyFont="1" applyFill="1" applyBorder="1" applyAlignment="1" applyProtection="1">
      <alignment horizontal="center" vertical="center" wrapText="1"/>
      <protection hidden="1"/>
    </xf>
    <xf numFmtId="0" fontId="2" fillId="10" borderId="60" xfId="2" applyFont="1" applyFill="1" applyBorder="1" applyAlignment="1" applyProtection="1">
      <alignment horizontal="left" indent="6"/>
      <protection hidden="1"/>
    </xf>
    <xf numFmtId="0" fontId="2" fillId="10" borderId="61" xfId="2" applyFont="1" applyFill="1" applyBorder="1" applyAlignment="1" applyProtection="1">
      <alignment horizontal="left" indent="6"/>
      <protection hidden="1"/>
    </xf>
    <xf numFmtId="0" fontId="2" fillId="10" borderId="62" xfId="2" applyFont="1" applyFill="1" applyBorder="1" applyAlignment="1" applyProtection="1">
      <alignment horizontal="left" indent="6"/>
      <protection hidden="1"/>
    </xf>
    <xf numFmtId="0" fontId="2" fillId="10" borderId="63" xfId="2" applyFont="1" applyFill="1" applyBorder="1" applyAlignment="1" applyProtection="1">
      <alignment horizontal="left" indent="7"/>
      <protection hidden="1"/>
    </xf>
    <xf numFmtId="0" fontId="2" fillId="10" borderId="0" xfId="2" applyFont="1" applyFill="1" applyBorder="1" applyAlignment="1" applyProtection="1">
      <alignment horizontal="left" indent="7"/>
      <protection hidden="1"/>
    </xf>
    <xf numFmtId="0" fontId="2" fillId="10" borderId="64" xfId="2" applyFont="1" applyFill="1" applyBorder="1" applyAlignment="1" applyProtection="1">
      <alignment horizontal="left" indent="7"/>
      <protection hidden="1"/>
    </xf>
    <xf numFmtId="0" fontId="2" fillId="10" borderId="25" xfId="2" applyFont="1" applyFill="1" applyBorder="1" applyAlignment="1" applyProtection="1">
      <alignment horizontal="left" indent="7"/>
      <protection hidden="1"/>
    </xf>
    <xf numFmtId="0" fontId="2" fillId="10" borderId="26" xfId="2" applyFont="1" applyFill="1" applyBorder="1" applyAlignment="1" applyProtection="1">
      <alignment horizontal="left" indent="7"/>
      <protection hidden="1"/>
    </xf>
    <xf numFmtId="0" fontId="2" fillId="10" borderId="27" xfId="2" applyFont="1" applyFill="1" applyBorder="1" applyAlignment="1" applyProtection="1">
      <alignment horizontal="left" indent="7"/>
      <protection hidden="1"/>
    </xf>
    <xf numFmtId="0" fontId="2" fillId="10" borderId="100" xfId="2" applyFill="1" applyBorder="1" applyAlignment="1" applyProtection="1">
      <alignment horizontal="left" vertical="center" wrapText="1" indent="1"/>
      <protection hidden="1"/>
    </xf>
    <xf numFmtId="0" fontId="2" fillId="10" borderId="127" xfId="2" applyFill="1" applyBorder="1" applyAlignment="1" applyProtection="1">
      <alignment horizontal="left" vertical="center" indent="1"/>
      <protection hidden="1"/>
    </xf>
    <xf numFmtId="0" fontId="13" fillId="6" borderId="33" xfId="0" applyFont="1" applyFill="1" applyBorder="1" applyAlignment="1" applyProtection="1">
      <alignment horizontal="left" vertical="center" indent="1"/>
      <protection hidden="1"/>
    </xf>
    <xf numFmtId="0" fontId="13" fillId="6" borderId="34" xfId="0" applyFont="1" applyFill="1" applyBorder="1" applyAlignment="1" applyProtection="1">
      <alignment horizontal="left" vertical="center" indent="1"/>
      <protection hidden="1"/>
    </xf>
    <xf numFmtId="0" fontId="2" fillId="10" borderId="4" xfId="2" applyFill="1" applyBorder="1" applyAlignment="1" applyProtection="1">
      <alignment horizontal="left" vertical="center" wrapText="1" indent="1"/>
      <protection hidden="1"/>
    </xf>
    <xf numFmtId="0" fontId="13" fillId="6" borderId="79" xfId="0" applyFont="1" applyFill="1" applyBorder="1" applyAlignment="1" applyProtection="1">
      <alignment horizontal="left" vertical="center" indent="1"/>
      <protection hidden="1"/>
    </xf>
    <xf numFmtId="0" fontId="2" fillId="10" borderId="128" xfId="2" applyFill="1" applyBorder="1" applyAlignment="1" applyProtection="1">
      <alignment horizontal="left" vertical="center" wrapText="1" indent="1"/>
      <protection hidden="1"/>
    </xf>
    <xf numFmtId="0" fontId="2" fillId="10" borderId="129" xfId="2" applyFill="1" applyBorder="1" applyAlignment="1" applyProtection="1">
      <alignment horizontal="left" vertical="center" wrapText="1" indent="1"/>
      <protection hidden="1"/>
    </xf>
    <xf numFmtId="0" fontId="2" fillId="10" borderId="38" xfId="2" applyFill="1" applyBorder="1" applyAlignment="1" applyProtection="1">
      <alignment horizontal="left" vertical="center" wrapText="1" indent="1"/>
      <protection hidden="1"/>
    </xf>
    <xf numFmtId="0" fontId="2" fillId="10" borderId="22" xfId="2" applyFill="1" applyBorder="1" applyAlignment="1" applyProtection="1">
      <alignment horizontal="left" vertical="center" wrapText="1" indent="1"/>
      <protection hidden="1"/>
    </xf>
    <xf numFmtId="0" fontId="2" fillId="10" borderId="130" xfId="2" applyFill="1" applyBorder="1" applyAlignment="1" applyProtection="1">
      <alignment horizontal="left" vertical="center" wrapText="1" indent="1"/>
      <protection hidden="1"/>
    </xf>
    <xf numFmtId="0" fontId="2" fillId="10" borderId="99" xfId="2" applyFill="1" applyBorder="1" applyAlignment="1" applyProtection="1">
      <alignment horizontal="left" vertical="center" wrapText="1" indent="1"/>
      <protection hidden="1"/>
    </xf>
    <xf numFmtId="0" fontId="2" fillId="4" borderId="8" xfId="0" applyFont="1" applyFill="1" applyBorder="1" applyAlignment="1">
      <alignment horizontal="left" vertical="center" wrapText="1" indent="1"/>
    </xf>
    <xf numFmtId="0" fontId="51" fillId="3" borderId="4" xfId="0" applyFont="1" applyFill="1" applyBorder="1" applyAlignment="1" applyProtection="1">
      <alignment horizontal="center" vertical="center" wrapText="1"/>
      <protection hidden="1"/>
    </xf>
    <xf numFmtId="0" fontId="128" fillId="10" borderId="10" xfId="3" applyFont="1" applyFill="1" applyBorder="1" applyAlignment="1">
      <alignment horizontal="left" vertical="center" indent="1"/>
    </xf>
    <xf numFmtId="0" fontId="128" fillId="10" borderId="8" xfId="3" applyFont="1" applyFill="1" applyBorder="1" applyAlignment="1">
      <alignment horizontal="left" vertical="center" indent="1"/>
    </xf>
    <xf numFmtId="0" fontId="50" fillId="3" borderId="0" xfId="2" applyFont="1" applyFill="1" applyAlignment="1">
      <alignment horizontal="left" vertical="center" wrapText="1"/>
    </xf>
    <xf numFmtId="0" fontId="5" fillId="3" borderId="0" xfId="2" applyFont="1" applyFill="1" applyAlignment="1" applyProtection="1">
      <alignment horizontal="left" vertical="center" wrapText="1"/>
      <protection hidden="1"/>
    </xf>
    <xf numFmtId="0" fontId="51" fillId="3" borderId="32" xfId="0" applyFont="1" applyFill="1" applyBorder="1" applyAlignment="1" applyProtection="1">
      <alignment horizontal="left" vertical="center" indent="1"/>
      <protection hidden="1"/>
    </xf>
    <xf numFmtId="0" fontId="51" fillId="3" borderId="34" xfId="0" applyFont="1" applyFill="1" applyBorder="1" applyAlignment="1" applyProtection="1">
      <alignment horizontal="left" vertical="center" indent="1"/>
      <protection hidden="1"/>
    </xf>
    <xf numFmtId="0" fontId="51" fillId="3" borderId="35" xfId="0" applyFont="1" applyFill="1" applyBorder="1" applyAlignment="1" applyProtection="1">
      <alignment horizontal="left" vertical="center" indent="1"/>
      <protection hidden="1"/>
    </xf>
    <xf numFmtId="0" fontId="51" fillId="3" borderId="36" xfId="0" applyFont="1" applyFill="1" applyBorder="1" applyAlignment="1" applyProtection="1">
      <alignment horizontal="left" vertical="center" indent="1"/>
      <protection hidden="1"/>
    </xf>
    <xf numFmtId="0" fontId="40" fillId="3" borderId="0" xfId="0" applyFont="1" applyFill="1" applyBorder="1" applyAlignment="1" applyProtection="1">
      <alignment horizontal="left" vertical="center" indent="1"/>
      <protection hidden="1"/>
    </xf>
    <xf numFmtId="0" fontId="2" fillId="4" borderId="77" xfId="0" applyFont="1" applyFill="1" applyBorder="1" applyAlignment="1" applyProtection="1">
      <alignment horizontal="left" vertical="center" wrapText="1"/>
      <protection hidden="1"/>
    </xf>
    <xf numFmtId="0" fontId="2" fillId="4" borderId="79" xfId="0" applyFont="1" applyFill="1" applyBorder="1" applyAlignment="1" applyProtection="1">
      <alignment horizontal="left" vertical="center" wrapText="1"/>
      <protection hidden="1"/>
    </xf>
    <xf numFmtId="0" fontId="17" fillId="3" borderId="4" xfId="0" applyFont="1" applyFill="1" applyBorder="1" applyAlignment="1" applyProtection="1">
      <alignment horizontal="center" vertical="center"/>
      <protection hidden="1"/>
    </xf>
    <xf numFmtId="0" fontId="41" fillId="3" borderId="10" xfId="0" applyFont="1" applyFill="1" applyBorder="1" applyAlignment="1" applyProtection="1">
      <alignment horizontal="left" vertical="center" wrapText="1"/>
      <protection hidden="1"/>
    </xf>
    <xf numFmtId="0" fontId="41" fillId="3" borderId="7" xfId="0" applyFont="1" applyFill="1" applyBorder="1" applyAlignment="1" applyProtection="1">
      <alignment horizontal="left" vertical="center" wrapText="1"/>
      <protection hidden="1"/>
    </xf>
    <xf numFmtId="0" fontId="41" fillId="3" borderId="8" xfId="0" applyFont="1" applyFill="1" applyBorder="1" applyAlignment="1" applyProtection="1">
      <alignment horizontal="left" vertical="center" wrapText="1"/>
      <protection hidden="1"/>
    </xf>
    <xf numFmtId="0" fontId="21" fillId="18" borderId="32" xfId="0" applyFont="1" applyFill="1" applyBorder="1" applyAlignment="1" applyProtection="1">
      <alignment horizontal="left" vertical="center" wrapText="1"/>
      <protection hidden="1"/>
    </xf>
    <xf numFmtId="0" fontId="21" fillId="18" borderId="33" xfId="0" applyFont="1" applyFill="1" applyBorder="1" applyAlignment="1" applyProtection="1">
      <alignment horizontal="left" vertical="center" wrapText="1"/>
      <protection hidden="1"/>
    </xf>
    <xf numFmtId="0" fontId="21" fillId="18" borderId="34" xfId="0" applyFont="1" applyFill="1" applyBorder="1" applyAlignment="1" applyProtection="1">
      <alignment horizontal="left" vertical="center" wrapText="1"/>
      <protection hidden="1"/>
    </xf>
    <xf numFmtId="0" fontId="21" fillId="18" borderId="4" xfId="0" applyFont="1" applyFill="1" applyBorder="1" applyAlignment="1" applyProtection="1">
      <alignment horizontal="left" vertical="center" wrapText="1"/>
      <protection hidden="1"/>
    </xf>
    <xf numFmtId="0" fontId="21" fillId="18" borderId="35" xfId="0" applyFont="1" applyFill="1" applyBorder="1" applyAlignment="1" applyProtection="1">
      <alignment horizontal="left" vertical="center" wrapText="1"/>
      <protection hidden="1"/>
    </xf>
    <xf numFmtId="0" fontId="21" fillId="18" borderId="3" xfId="0" applyFont="1" applyFill="1" applyBorder="1" applyAlignment="1" applyProtection="1">
      <alignment horizontal="left" vertical="center" wrapText="1"/>
      <protection hidden="1"/>
    </xf>
    <xf numFmtId="0" fontId="21" fillId="18" borderId="36" xfId="0" applyFont="1" applyFill="1" applyBorder="1" applyAlignment="1" applyProtection="1">
      <alignment horizontal="left" vertical="center" wrapText="1"/>
      <protection hidden="1"/>
    </xf>
    <xf numFmtId="0" fontId="10" fillId="3" borderId="0" xfId="0" applyFont="1" applyFill="1" applyBorder="1" applyAlignment="1" applyProtection="1">
      <alignment horizontal="left" vertical="center" indent="1"/>
      <protection hidden="1"/>
    </xf>
    <xf numFmtId="0" fontId="20" fillId="3" borderId="28" xfId="2" applyFont="1" applyFill="1" applyBorder="1" applyAlignment="1" applyProtection="1">
      <alignment horizontal="left" vertical="center" wrapText="1" indent="1"/>
      <protection hidden="1"/>
    </xf>
    <xf numFmtId="0" fontId="20" fillId="3" borderId="29" xfId="2" applyFont="1" applyFill="1" applyBorder="1" applyAlignment="1" applyProtection="1">
      <alignment horizontal="left" vertical="center" wrapText="1" indent="1"/>
      <protection hidden="1"/>
    </xf>
    <xf numFmtId="0" fontId="13" fillId="3" borderId="10" xfId="0" applyFont="1" applyFill="1" applyBorder="1" applyAlignment="1" applyProtection="1">
      <alignment horizontal="left" vertical="center" indent="1"/>
      <protection hidden="1"/>
    </xf>
    <xf numFmtId="0" fontId="13" fillId="3" borderId="7" xfId="0" applyFont="1" applyFill="1" applyBorder="1" applyAlignment="1" applyProtection="1">
      <alignment horizontal="left" vertical="center" indent="1"/>
      <protection hidden="1"/>
    </xf>
    <xf numFmtId="0" fontId="13" fillId="3" borderId="7" xfId="0" applyFont="1" applyFill="1" applyBorder="1" applyAlignment="1" applyProtection="1">
      <alignment horizontal="center" vertical="center"/>
      <protection hidden="1"/>
    </xf>
    <xf numFmtId="0" fontId="13" fillId="3" borderId="8" xfId="0" applyFont="1" applyFill="1" applyBorder="1" applyAlignment="1" applyProtection="1">
      <alignment horizontal="center" vertical="center"/>
      <protection hidden="1"/>
    </xf>
    <xf numFmtId="0" fontId="2" fillId="2" borderId="0" xfId="0" applyFont="1" applyFill="1" applyBorder="1" applyAlignment="1" applyProtection="1">
      <alignment horizontal="left" vertical="center" wrapText="1"/>
      <protection hidden="1"/>
    </xf>
    <xf numFmtId="0" fontId="11" fillId="3" borderId="10" xfId="2" applyFont="1" applyFill="1" applyBorder="1" applyAlignment="1" applyProtection="1">
      <alignment horizontal="center" vertical="center"/>
      <protection hidden="1"/>
    </xf>
    <xf numFmtId="0" fontId="11" fillId="3" borderId="7" xfId="2" applyFont="1" applyFill="1" applyBorder="1" applyAlignment="1" applyProtection="1">
      <alignment horizontal="center" vertical="center"/>
      <protection hidden="1"/>
    </xf>
    <xf numFmtId="0" fontId="14" fillId="20" borderId="35" xfId="0" applyFont="1" applyFill="1" applyBorder="1" applyAlignment="1" applyProtection="1">
      <alignment horizontal="center" vertical="center" wrapText="1"/>
      <protection locked="0"/>
    </xf>
    <xf numFmtId="0" fontId="17" fillId="3" borderId="10" xfId="0" applyFont="1" applyFill="1" applyBorder="1" applyAlignment="1" applyProtection="1">
      <alignment horizontal="center" vertical="center"/>
      <protection hidden="1"/>
    </xf>
    <xf numFmtId="0" fontId="17" fillId="3" borderId="7" xfId="0" applyFont="1" applyFill="1" applyBorder="1" applyAlignment="1" applyProtection="1">
      <alignment horizontal="center" vertical="center"/>
      <protection hidden="1"/>
    </xf>
    <xf numFmtId="0" fontId="17" fillId="3" borderId="8" xfId="0" applyFont="1" applyFill="1" applyBorder="1" applyAlignment="1" applyProtection="1">
      <alignment horizontal="center" vertical="center"/>
      <protection hidden="1"/>
    </xf>
    <xf numFmtId="0" fontId="14" fillId="20" borderId="38" xfId="0" applyFont="1" applyFill="1" applyBorder="1" applyAlignment="1" applyProtection="1">
      <alignment horizontal="left" vertical="center" wrapText="1"/>
      <protection locked="0"/>
    </xf>
    <xf numFmtId="0" fontId="14" fillId="20" borderId="0" xfId="0" applyFont="1" applyFill="1" applyBorder="1" applyAlignment="1" applyProtection="1">
      <alignment horizontal="left" vertical="center" wrapText="1"/>
      <protection locked="0"/>
    </xf>
    <xf numFmtId="0" fontId="14" fillId="20" borderId="4" xfId="0" applyFont="1" applyFill="1" applyBorder="1" applyAlignment="1" applyProtection="1">
      <alignment horizontal="left" vertical="center" wrapText="1"/>
      <protection locked="0"/>
    </xf>
    <xf numFmtId="0" fontId="21" fillId="2" borderId="35" xfId="0" applyFont="1" applyFill="1" applyBorder="1" applyAlignment="1" applyProtection="1">
      <alignment horizontal="left" vertical="center" wrapText="1" indent="5"/>
      <protection hidden="1"/>
    </xf>
    <xf numFmtId="0" fontId="21" fillId="2" borderId="3" xfId="0" applyFont="1" applyFill="1" applyBorder="1" applyAlignment="1" applyProtection="1">
      <alignment horizontal="left" vertical="center" wrapText="1" indent="5"/>
      <protection hidden="1"/>
    </xf>
    <xf numFmtId="0" fontId="14" fillId="4" borderId="4" xfId="0" applyFont="1" applyFill="1" applyBorder="1" applyAlignment="1" applyProtection="1">
      <alignment horizontal="left" vertical="center" wrapText="1"/>
      <protection hidden="1"/>
    </xf>
    <xf numFmtId="0" fontId="11" fillId="3" borderId="4" xfId="0" applyFont="1" applyFill="1" applyBorder="1" applyAlignment="1" applyProtection="1">
      <alignment horizontal="center" vertical="center"/>
      <protection hidden="1"/>
    </xf>
    <xf numFmtId="0" fontId="14" fillId="20" borderId="4" xfId="0" applyFont="1" applyFill="1" applyBorder="1" applyAlignment="1" applyProtection="1">
      <alignment horizontal="left" vertical="center"/>
      <protection locked="0"/>
    </xf>
    <xf numFmtId="0" fontId="108" fillId="2" borderId="0" xfId="2" applyFont="1" applyFill="1" applyAlignment="1" applyProtection="1">
      <alignment horizontal="left" vertical="center" wrapText="1" indent="5"/>
      <protection hidden="1"/>
    </xf>
    <xf numFmtId="0" fontId="21" fillId="2" borderId="0" xfId="2" applyFont="1" applyFill="1" applyBorder="1" applyAlignment="1" applyProtection="1">
      <alignment horizontal="center" vertical="center"/>
      <protection hidden="1"/>
    </xf>
    <xf numFmtId="0" fontId="14" fillId="10" borderId="4" xfId="0" applyFont="1" applyFill="1" applyBorder="1" applyAlignment="1" applyProtection="1">
      <alignment horizontal="center" vertical="center" wrapText="1"/>
      <protection locked="0"/>
    </xf>
    <xf numFmtId="0" fontId="13" fillId="3" borderId="7" xfId="0" applyFont="1" applyFill="1" applyBorder="1" applyAlignment="1" applyProtection="1">
      <alignment horizontal="center" vertical="center" wrapText="1"/>
      <protection hidden="1"/>
    </xf>
    <xf numFmtId="0" fontId="13" fillId="3" borderId="8" xfId="0" applyFont="1" applyFill="1" applyBorder="1" applyAlignment="1" applyProtection="1">
      <alignment horizontal="center" vertical="center" wrapText="1"/>
      <protection hidden="1"/>
    </xf>
    <xf numFmtId="0" fontId="13" fillId="3" borderId="0" xfId="0" applyFont="1" applyFill="1" applyBorder="1" applyAlignment="1" applyProtection="1">
      <alignment horizontal="center" vertical="center"/>
      <protection hidden="1"/>
    </xf>
    <xf numFmtId="0" fontId="8" fillId="9" borderId="4" xfId="2" applyFont="1" applyFill="1" applyBorder="1" applyAlignment="1" applyProtection="1">
      <alignment horizontal="center" vertical="center"/>
      <protection hidden="1"/>
    </xf>
    <xf numFmtId="0" fontId="11" fillId="3" borderId="10" xfId="0" applyFont="1" applyFill="1" applyBorder="1" applyAlignment="1" applyProtection="1">
      <alignment horizontal="center" vertical="center"/>
      <protection hidden="1"/>
    </xf>
    <xf numFmtId="0" fontId="11" fillId="3" borderId="7" xfId="0" applyFont="1" applyFill="1" applyBorder="1" applyAlignment="1" applyProtection="1">
      <alignment horizontal="center" vertical="center"/>
      <protection hidden="1"/>
    </xf>
    <xf numFmtId="0" fontId="11" fillId="3" borderId="8" xfId="0" applyFont="1" applyFill="1" applyBorder="1" applyAlignment="1" applyProtection="1">
      <alignment horizontal="center" vertical="center"/>
      <protection hidden="1"/>
    </xf>
    <xf numFmtId="0" fontId="14" fillId="20" borderId="103" xfId="0" applyFont="1" applyFill="1" applyBorder="1" applyAlignment="1" applyProtection="1">
      <alignment horizontal="center" vertical="center" wrapText="1"/>
      <protection locked="0"/>
    </xf>
    <xf numFmtId="0" fontId="14" fillId="20" borderId="104" xfId="0" applyFont="1" applyFill="1" applyBorder="1" applyAlignment="1" applyProtection="1">
      <alignment horizontal="center" vertical="center" wrapText="1"/>
      <protection locked="0"/>
    </xf>
    <xf numFmtId="0" fontId="2" fillId="10" borderId="63" xfId="2" applyFill="1" applyBorder="1" applyAlignment="1" applyProtection="1">
      <alignment horizontal="left" indent="6"/>
      <protection hidden="1"/>
    </xf>
    <xf numFmtId="0" fontId="2" fillId="10" borderId="0" xfId="2" applyFill="1" applyBorder="1" applyAlignment="1" applyProtection="1">
      <alignment horizontal="left" indent="6"/>
      <protection hidden="1"/>
    </xf>
    <xf numFmtId="0" fontId="2" fillId="10" borderId="64" xfId="2" applyFill="1" applyBorder="1" applyAlignment="1" applyProtection="1">
      <alignment horizontal="left" indent="6"/>
      <protection hidden="1"/>
    </xf>
    <xf numFmtId="0" fontId="2" fillId="10" borderId="25" xfId="2" applyFont="1" applyFill="1" applyBorder="1" applyAlignment="1" applyProtection="1">
      <alignment horizontal="left" indent="6"/>
      <protection hidden="1"/>
    </xf>
    <xf numFmtId="0" fontId="2" fillId="10" borderId="26" xfId="2" applyFont="1" applyFill="1" applyBorder="1" applyAlignment="1" applyProtection="1">
      <alignment horizontal="left" indent="6"/>
      <protection hidden="1"/>
    </xf>
    <xf numFmtId="0" fontId="2" fillId="10" borderId="27" xfId="2" applyFont="1" applyFill="1" applyBorder="1" applyAlignment="1" applyProtection="1">
      <alignment horizontal="left" indent="6"/>
      <protection hidden="1"/>
    </xf>
    <xf numFmtId="0" fontId="2" fillId="10" borderId="60" xfId="2" applyFont="1" applyFill="1" applyBorder="1" applyAlignment="1" applyProtection="1">
      <alignment horizontal="left" indent="5"/>
      <protection hidden="1"/>
    </xf>
    <xf numFmtId="0" fontId="2" fillId="10" borderId="61" xfId="2" applyFont="1" applyFill="1" applyBorder="1" applyAlignment="1" applyProtection="1">
      <alignment horizontal="left" indent="5"/>
      <protection hidden="1"/>
    </xf>
    <xf numFmtId="0" fontId="2" fillId="10" borderId="62" xfId="2" applyFont="1" applyFill="1" applyBorder="1" applyAlignment="1" applyProtection="1">
      <alignment horizontal="left" indent="5"/>
      <protection hidden="1"/>
    </xf>
    <xf numFmtId="0" fontId="14" fillId="20" borderId="105" xfId="0" applyFont="1" applyFill="1" applyBorder="1" applyAlignment="1" applyProtection="1">
      <alignment horizontal="center" vertical="center" wrapText="1"/>
      <protection locked="0"/>
    </xf>
    <xf numFmtId="0" fontId="14" fillId="20" borderId="102" xfId="0" applyFont="1" applyFill="1" applyBorder="1" applyAlignment="1" applyProtection="1">
      <alignment horizontal="center" vertical="center" wrapText="1"/>
      <protection locked="0"/>
    </xf>
    <xf numFmtId="0" fontId="22" fillId="2" borderId="38" xfId="0" applyFont="1" applyFill="1" applyBorder="1" applyAlignment="1" applyProtection="1">
      <alignment horizontal="left" vertical="center" wrapText="1" indent="5"/>
      <protection hidden="1"/>
    </xf>
    <xf numFmtId="0" fontId="2" fillId="4" borderId="35" xfId="0" applyFont="1" applyFill="1" applyBorder="1" applyAlignment="1" applyProtection="1">
      <alignment horizontal="left" vertical="center" wrapText="1"/>
      <protection hidden="1"/>
    </xf>
    <xf numFmtId="0" fontId="2" fillId="4" borderId="3" xfId="0" applyFont="1" applyFill="1" applyBorder="1" applyAlignment="1" applyProtection="1">
      <alignment horizontal="left" vertical="center" wrapText="1"/>
      <protection hidden="1"/>
    </xf>
    <xf numFmtId="0" fontId="17" fillId="3" borderId="65" xfId="0" applyFont="1" applyFill="1" applyBorder="1" applyAlignment="1" applyProtection="1">
      <alignment horizontal="center" vertical="center"/>
      <protection hidden="1"/>
    </xf>
    <xf numFmtId="0" fontId="14" fillId="20" borderId="65" xfId="0" applyFont="1" applyFill="1" applyBorder="1" applyAlignment="1" applyProtection="1">
      <alignment horizontal="center" vertical="center" wrapText="1"/>
      <protection locked="0"/>
    </xf>
    <xf numFmtId="0" fontId="13" fillId="3" borderId="10" xfId="0" applyFont="1" applyFill="1" applyBorder="1" applyAlignment="1" applyProtection="1">
      <alignment horizontal="center" vertical="center"/>
      <protection hidden="1"/>
    </xf>
    <xf numFmtId="0" fontId="2" fillId="4" borderId="77" xfId="0" applyFont="1" applyFill="1" applyBorder="1" applyAlignment="1" applyProtection="1">
      <alignment horizontal="left" vertical="center" wrapText="1" indent="1"/>
      <protection hidden="1"/>
    </xf>
    <xf numFmtId="0" fontId="2" fillId="4" borderId="79" xfId="0" applyFont="1" applyFill="1" applyBorder="1" applyAlignment="1" applyProtection="1">
      <alignment horizontal="left" vertical="center" wrapText="1" indent="1"/>
      <protection hidden="1"/>
    </xf>
    <xf numFmtId="0" fontId="2" fillId="4" borderId="78" xfId="0" applyFont="1" applyFill="1" applyBorder="1" applyAlignment="1" applyProtection="1">
      <alignment horizontal="left" vertical="center" wrapText="1" indent="1"/>
      <protection hidden="1"/>
    </xf>
    <xf numFmtId="0" fontId="2" fillId="10" borderId="60" xfId="2" applyFill="1" applyBorder="1" applyAlignment="1" applyProtection="1">
      <alignment horizontal="left" indent="6"/>
      <protection hidden="1"/>
    </xf>
    <xf numFmtId="0" fontId="2" fillId="10" borderId="61" xfId="2" applyFill="1" applyBorder="1" applyAlignment="1" applyProtection="1">
      <alignment horizontal="left" indent="6"/>
      <protection hidden="1"/>
    </xf>
    <xf numFmtId="0" fontId="2" fillId="10" borderId="62" xfId="2" applyFill="1" applyBorder="1" applyAlignment="1" applyProtection="1">
      <alignment horizontal="left" indent="6"/>
      <protection hidden="1"/>
    </xf>
    <xf numFmtId="0" fontId="2" fillId="10" borderId="63" xfId="2" applyFill="1" applyBorder="1" applyAlignment="1" applyProtection="1">
      <alignment horizontal="left" vertical="center" indent="8"/>
      <protection hidden="1"/>
    </xf>
    <xf numFmtId="0" fontId="2" fillId="10" borderId="0" xfId="2" applyFill="1" applyBorder="1" applyAlignment="1" applyProtection="1">
      <alignment horizontal="left" vertical="center" indent="8"/>
      <protection hidden="1"/>
    </xf>
    <xf numFmtId="0" fontId="2" fillId="10" borderId="64" xfId="2" applyFill="1" applyBorder="1" applyAlignment="1" applyProtection="1">
      <alignment horizontal="left" vertical="center" indent="8"/>
      <protection hidden="1"/>
    </xf>
    <xf numFmtId="0" fontId="2" fillId="10" borderId="25" xfId="2" applyFill="1" applyBorder="1" applyAlignment="1" applyProtection="1">
      <alignment horizontal="left" vertical="center" indent="8"/>
      <protection hidden="1"/>
    </xf>
    <xf numFmtId="0" fontId="2" fillId="10" borderId="26" xfId="2" applyFill="1" applyBorder="1" applyAlignment="1" applyProtection="1">
      <alignment horizontal="left" vertical="center" indent="8"/>
      <protection hidden="1"/>
    </xf>
    <xf numFmtId="0" fontId="2" fillId="10" borderId="27" xfId="2" applyFill="1" applyBorder="1" applyAlignment="1" applyProtection="1">
      <alignment horizontal="left" vertical="center" indent="8"/>
      <protection hidden="1"/>
    </xf>
    <xf numFmtId="0" fontId="11" fillId="3" borderId="5" xfId="6" applyFont="1" applyFill="1" applyBorder="1" applyAlignment="1">
      <alignment horizontal="center"/>
    </xf>
    <xf numFmtId="0" fontId="11" fillId="3" borderId="20" xfId="6" applyFont="1" applyFill="1" applyBorder="1" applyAlignment="1">
      <alignment horizontal="center"/>
    </xf>
    <xf numFmtId="0" fontId="22" fillId="2" borderId="0" xfId="0" applyFont="1" applyFill="1" applyBorder="1" applyAlignment="1" applyProtection="1">
      <alignment horizontal="left" vertical="center" wrapText="1"/>
      <protection hidden="1"/>
    </xf>
    <xf numFmtId="0" fontId="2" fillId="20" borderId="5" xfId="6" applyFont="1" applyFill="1" applyBorder="1" applyAlignment="1" applyProtection="1">
      <alignment horizontal="center" vertical="center"/>
      <protection locked="0"/>
    </xf>
    <xf numFmtId="2" fontId="2" fillId="10" borderId="5" xfId="6" applyNumberFormat="1" applyFont="1" applyFill="1" applyBorder="1" applyAlignment="1" applyProtection="1">
      <alignment horizontal="center" vertical="center"/>
      <protection hidden="1"/>
    </xf>
    <xf numFmtId="0" fontId="166" fillId="3" borderId="5" xfId="6" applyFont="1" applyFill="1" applyBorder="1" applyAlignment="1">
      <alignment horizontal="center" vertical="center"/>
    </xf>
    <xf numFmtId="0" fontId="2" fillId="10" borderId="5" xfId="6" applyFont="1" applyFill="1" applyBorder="1" applyAlignment="1" applyProtection="1">
      <alignment horizontal="center" vertical="center"/>
      <protection hidden="1"/>
    </xf>
    <xf numFmtId="165" fontId="2" fillId="10" borderId="5" xfId="6" applyNumberFormat="1" applyFont="1" applyFill="1" applyBorder="1" applyAlignment="1" applyProtection="1">
      <alignment horizontal="center" vertical="center"/>
      <protection hidden="1"/>
    </xf>
    <xf numFmtId="165" fontId="22" fillId="4" borderId="5" xfId="6" applyNumberFormat="1" applyFont="1" applyFill="1" applyBorder="1" applyAlignment="1" applyProtection="1">
      <alignment horizontal="center" vertical="center"/>
      <protection hidden="1"/>
    </xf>
    <xf numFmtId="0" fontId="20" fillId="3" borderId="5" xfId="6" applyFont="1" applyFill="1" applyBorder="1" applyAlignment="1" applyProtection="1">
      <alignment horizontal="center" vertical="center"/>
      <protection hidden="1"/>
    </xf>
    <xf numFmtId="0" fontId="20" fillId="3" borderId="20" xfId="6" applyFont="1" applyFill="1" applyBorder="1" applyAlignment="1" applyProtection="1">
      <alignment horizontal="center" vertical="center"/>
      <protection hidden="1"/>
    </xf>
    <xf numFmtId="0" fontId="17" fillId="3" borderId="4" xfId="6" applyFont="1" applyFill="1" applyBorder="1" applyAlignment="1">
      <alignment horizontal="center" vertical="center"/>
    </xf>
    <xf numFmtId="0" fontId="2" fillId="4" borderId="65" xfId="0" applyFont="1" applyFill="1" applyBorder="1" applyAlignment="1" applyProtection="1">
      <alignment horizontal="left" vertical="center" wrapText="1" indent="1"/>
      <protection hidden="1"/>
    </xf>
    <xf numFmtId="3" fontId="14" fillId="20" borderId="134" xfId="0" applyNumberFormat="1" applyFont="1" applyFill="1" applyBorder="1" applyAlignment="1" applyProtection="1">
      <alignment horizontal="left" vertical="center" wrapText="1"/>
      <protection locked="0"/>
    </xf>
    <xf numFmtId="3" fontId="14" fillId="20" borderId="0" xfId="0" applyNumberFormat="1" applyFont="1" applyFill="1" applyBorder="1" applyAlignment="1" applyProtection="1">
      <alignment horizontal="left" vertical="center" wrapText="1"/>
      <protection locked="0"/>
    </xf>
    <xf numFmtId="0" fontId="11" fillId="3" borderId="65" xfId="0" applyFont="1" applyFill="1" applyBorder="1" applyAlignment="1" applyProtection="1">
      <alignment horizontal="center" vertical="center"/>
      <protection hidden="1"/>
    </xf>
    <xf numFmtId="0" fontId="50" fillId="5" borderId="33" xfId="2" applyFont="1" applyFill="1" applyBorder="1" applyAlignment="1">
      <alignment horizontal="left" vertical="center" wrapText="1"/>
    </xf>
    <xf numFmtId="0" fontId="50" fillId="5" borderId="0" xfId="2" applyFont="1" applyFill="1" applyBorder="1" applyAlignment="1">
      <alignment horizontal="left" vertical="center" wrapText="1"/>
    </xf>
    <xf numFmtId="0" fontId="51" fillId="5" borderId="32" xfId="0" applyFont="1" applyFill="1" applyBorder="1" applyAlignment="1" applyProtection="1">
      <alignment horizontal="left" vertical="center" indent="1"/>
      <protection hidden="1"/>
    </xf>
    <xf numFmtId="0" fontId="51" fillId="5" borderId="34" xfId="0" applyFont="1" applyFill="1" applyBorder="1" applyAlignment="1" applyProtection="1">
      <alignment horizontal="left" vertical="center" indent="1"/>
      <protection hidden="1"/>
    </xf>
    <xf numFmtId="0" fontId="51" fillId="5" borderId="35" xfId="0" applyFont="1" applyFill="1" applyBorder="1" applyAlignment="1" applyProtection="1">
      <alignment horizontal="left" vertical="center" indent="1"/>
      <protection hidden="1"/>
    </xf>
    <xf numFmtId="0" fontId="51" fillId="5" borderId="36" xfId="0" applyFont="1" applyFill="1" applyBorder="1" applyAlignment="1" applyProtection="1">
      <alignment horizontal="left" vertical="center" indent="1"/>
      <protection hidden="1"/>
    </xf>
    <xf numFmtId="0" fontId="51" fillId="5" borderId="4" xfId="0" applyFont="1" applyFill="1" applyBorder="1" applyAlignment="1" applyProtection="1">
      <alignment horizontal="center" vertical="center" wrapText="1"/>
      <protection hidden="1"/>
    </xf>
    <xf numFmtId="0" fontId="122" fillId="10" borderId="10" xfId="3" applyFont="1" applyFill="1" applyBorder="1" applyAlignment="1">
      <alignment horizontal="left" vertical="center" indent="1"/>
    </xf>
    <xf numFmtId="0" fontId="122" fillId="10" borderId="8" xfId="3" applyFont="1" applyFill="1" applyBorder="1" applyAlignment="1">
      <alignment horizontal="left" vertical="center" indent="1"/>
    </xf>
    <xf numFmtId="0" fontId="5" fillId="5" borderId="0" xfId="2" applyFont="1" applyFill="1" applyBorder="1" applyAlignment="1">
      <alignment horizontal="left" vertical="top" wrapText="1"/>
    </xf>
    <xf numFmtId="0" fontId="5" fillId="5" borderId="10" xfId="0" applyFont="1" applyFill="1" applyBorder="1" applyAlignment="1" applyProtection="1">
      <alignment horizontal="left" vertical="center" indent="1"/>
      <protection hidden="1"/>
    </xf>
    <xf numFmtId="0" fontId="5" fillId="5" borderId="8" xfId="0" applyFont="1" applyFill="1" applyBorder="1" applyAlignment="1" applyProtection="1">
      <alignment horizontal="left" vertical="center" indent="1"/>
      <protection hidden="1"/>
    </xf>
    <xf numFmtId="0" fontId="17" fillId="5" borderId="65" xfId="0" applyFont="1" applyFill="1" applyBorder="1" applyAlignment="1" applyProtection="1">
      <alignment horizontal="center" vertical="center"/>
      <protection hidden="1"/>
    </xf>
    <xf numFmtId="0" fontId="2" fillId="20" borderId="10" xfId="0" applyFont="1" applyFill="1" applyBorder="1" applyAlignment="1" applyProtection="1">
      <alignment horizontal="center" vertical="center" wrapText="1"/>
      <protection locked="0"/>
    </xf>
    <xf numFmtId="0" fontId="2" fillId="20" borderId="7" xfId="0" applyFont="1" applyFill="1" applyBorder="1" applyAlignment="1" applyProtection="1">
      <alignment horizontal="center" vertical="center" wrapText="1"/>
      <protection locked="0"/>
    </xf>
    <xf numFmtId="0" fontId="2" fillId="20" borderId="38" xfId="0" applyFont="1" applyFill="1" applyBorder="1" applyAlignment="1" applyProtection="1">
      <alignment horizontal="left" vertical="top" wrapText="1"/>
      <protection locked="0"/>
    </xf>
    <xf numFmtId="0" fontId="2" fillId="20" borderId="0" xfId="0" applyFont="1" applyFill="1" applyBorder="1" applyAlignment="1" applyProtection="1">
      <alignment horizontal="left" vertical="top" wrapText="1"/>
      <protection locked="0"/>
    </xf>
    <xf numFmtId="0" fontId="11" fillId="5" borderId="10" xfId="0" applyFont="1" applyFill="1" applyBorder="1" applyAlignment="1" applyProtection="1">
      <alignment horizontal="center" vertical="center" wrapText="1"/>
      <protection hidden="1"/>
    </xf>
    <xf numFmtId="0" fontId="11" fillId="5" borderId="7" xfId="0" applyFont="1" applyFill="1" applyBorder="1" applyAlignment="1" applyProtection="1">
      <alignment horizontal="center" vertical="center" wrapText="1"/>
      <protection hidden="1"/>
    </xf>
    <xf numFmtId="0" fontId="10" fillId="5" borderId="0" xfId="0" applyFont="1" applyFill="1" applyBorder="1" applyAlignment="1" applyProtection="1">
      <alignment horizontal="left" vertical="center" indent="1"/>
      <protection hidden="1"/>
    </xf>
    <xf numFmtId="0" fontId="2" fillId="2" borderId="0" xfId="2" applyFont="1" applyFill="1" applyBorder="1" applyAlignment="1" applyProtection="1">
      <alignment horizontal="left" vertical="center" wrapText="1" indent="4"/>
      <protection hidden="1"/>
    </xf>
    <xf numFmtId="0" fontId="13" fillId="5" borderId="10" xfId="0" applyFont="1" applyFill="1" applyBorder="1" applyAlignment="1" applyProtection="1">
      <alignment horizontal="left" vertical="center" indent="1"/>
      <protection hidden="1"/>
    </xf>
    <xf numFmtId="0" fontId="13" fillId="5" borderId="7" xfId="0" applyFont="1" applyFill="1" applyBorder="1" applyAlignment="1" applyProtection="1">
      <alignment horizontal="left" vertical="center" indent="1"/>
      <protection hidden="1"/>
    </xf>
    <xf numFmtId="0" fontId="13" fillId="5" borderId="7" xfId="0" applyFont="1" applyFill="1" applyBorder="1" applyAlignment="1" applyProtection="1">
      <alignment horizontal="center" vertical="center"/>
      <protection hidden="1"/>
    </xf>
    <xf numFmtId="0" fontId="13" fillId="5" borderId="8" xfId="0" applyFont="1" applyFill="1" applyBorder="1" applyAlignment="1" applyProtection="1">
      <alignment horizontal="center" vertical="center"/>
      <protection hidden="1"/>
    </xf>
    <xf numFmtId="0" fontId="9" fillId="5" borderId="0" xfId="0" applyFont="1" applyFill="1" applyBorder="1" applyAlignment="1" applyProtection="1">
      <alignment horizontal="left" vertical="center" indent="1"/>
      <protection hidden="1"/>
    </xf>
    <xf numFmtId="0" fontId="20" fillId="5" borderId="28" xfId="2" applyFont="1" applyFill="1" applyBorder="1" applyAlignment="1" applyProtection="1">
      <alignment horizontal="left" vertical="center" wrapText="1" indent="1"/>
      <protection hidden="1"/>
    </xf>
    <xf numFmtId="0" fontId="20" fillId="5" borderId="29" xfId="2" applyFont="1" applyFill="1" applyBorder="1" applyAlignment="1" applyProtection="1">
      <alignment horizontal="left" vertical="center" wrapText="1" indent="1"/>
      <protection hidden="1"/>
    </xf>
    <xf numFmtId="0" fontId="40" fillId="5" borderId="0" xfId="0" applyFont="1" applyFill="1" applyBorder="1" applyAlignment="1" applyProtection="1">
      <alignment horizontal="left" vertical="center" indent="1"/>
      <protection hidden="1"/>
    </xf>
    <xf numFmtId="0" fontId="14" fillId="20" borderId="77" xfId="0" applyFont="1" applyFill="1" applyBorder="1" applyAlignment="1" applyProtection="1">
      <alignment horizontal="center" vertical="center" wrapText="1"/>
      <protection locked="0"/>
    </xf>
    <xf numFmtId="0" fontId="14" fillId="20" borderId="78" xfId="0" applyFont="1" applyFill="1" applyBorder="1" applyAlignment="1" applyProtection="1">
      <alignment horizontal="center" vertical="center" wrapText="1"/>
      <protection locked="0"/>
    </xf>
    <xf numFmtId="0" fontId="11" fillId="5" borderId="0" xfId="2" applyFont="1" applyFill="1" applyBorder="1" applyAlignment="1" applyProtection="1">
      <alignment horizontal="left" vertical="center"/>
      <protection hidden="1"/>
    </xf>
    <xf numFmtId="0" fontId="11" fillId="5" borderId="10" xfId="0" applyFont="1" applyFill="1" applyBorder="1" applyAlignment="1" applyProtection="1">
      <alignment horizontal="left" vertical="center" wrapText="1" indent="1"/>
      <protection hidden="1"/>
    </xf>
    <xf numFmtId="0" fontId="11" fillId="5" borderId="7" xfId="0" applyFont="1" applyFill="1" applyBorder="1" applyAlignment="1" applyProtection="1">
      <alignment horizontal="left" vertical="center" wrapText="1" indent="1"/>
      <protection hidden="1"/>
    </xf>
    <xf numFmtId="0" fontId="2" fillId="4" borderId="65" xfId="0" applyFont="1" applyFill="1" applyBorder="1" applyAlignment="1" applyProtection="1">
      <alignment horizontal="left" vertical="center" wrapText="1"/>
      <protection hidden="1"/>
    </xf>
    <xf numFmtId="0" fontId="2" fillId="20" borderId="4" xfId="2" applyFont="1" applyFill="1" applyBorder="1" applyAlignment="1" applyProtection="1">
      <alignment horizontal="left" vertical="center" indent="1"/>
      <protection locked="0"/>
    </xf>
    <xf numFmtId="0" fontId="11" fillId="5" borderId="8" xfId="2" applyFont="1" applyFill="1" applyBorder="1" applyAlignment="1" applyProtection="1">
      <alignment horizontal="left" vertical="center" indent="1"/>
      <protection hidden="1"/>
    </xf>
    <xf numFmtId="0" fontId="11" fillId="5" borderId="4" xfId="2" applyFont="1" applyFill="1" applyBorder="1" applyAlignment="1" applyProtection="1">
      <alignment horizontal="left" vertical="center" indent="1"/>
      <protection hidden="1"/>
    </xf>
    <xf numFmtId="0" fontId="2" fillId="20" borderId="65" xfId="2" applyFill="1" applyBorder="1" applyAlignment="1" applyProtection="1">
      <alignment horizontal="left"/>
      <protection hidden="1"/>
    </xf>
    <xf numFmtId="0" fontId="20" fillId="5" borderId="28" xfId="2" applyFont="1" applyFill="1" applyBorder="1" applyAlignment="1" applyProtection="1">
      <alignment horizontal="left" vertical="center" wrapText="1"/>
      <protection hidden="1"/>
    </xf>
    <xf numFmtId="0" fontId="20" fillId="5" borderId="29" xfId="2" applyFont="1" applyFill="1" applyBorder="1" applyAlignment="1" applyProtection="1">
      <alignment horizontal="left" vertical="center" wrapText="1"/>
      <protection hidden="1"/>
    </xf>
    <xf numFmtId="0" fontId="8" fillId="0" borderId="29" xfId="2" applyFont="1" applyFill="1" applyBorder="1" applyAlignment="1" applyProtection="1">
      <alignment horizontal="left" vertical="center" wrapText="1" indent="1"/>
      <protection hidden="1"/>
    </xf>
    <xf numFmtId="0" fontId="8" fillId="0" borderId="30" xfId="2" applyFont="1" applyFill="1" applyBorder="1" applyAlignment="1" applyProtection="1">
      <alignment horizontal="left" vertical="center" wrapText="1" indent="1"/>
      <protection hidden="1"/>
    </xf>
    <xf numFmtId="0" fontId="2" fillId="4" borderId="65" xfId="2" applyFill="1" applyBorder="1" applyAlignment="1" applyProtection="1">
      <protection hidden="1"/>
    </xf>
    <xf numFmtId="0" fontId="17" fillId="5" borderId="65" xfId="0" applyFont="1" applyFill="1" applyBorder="1" applyAlignment="1" applyProtection="1">
      <alignment horizontal="center" vertical="center" wrapText="1"/>
      <protection hidden="1"/>
    </xf>
    <xf numFmtId="0" fontId="2" fillId="20" borderId="65" xfId="2" applyFill="1" applyBorder="1" applyAlignment="1" applyProtection="1">
      <alignment horizontal="left" vertical="center" wrapText="1"/>
      <protection locked="0"/>
    </xf>
    <xf numFmtId="0" fontId="11" fillId="5" borderId="65" xfId="2" applyFont="1" applyFill="1" applyBorder="1" applyAlignment="1" applyProtection="1">
      <alignment vertical="center" wrapText="1"/>
      <protection hidden="1"/>
    </xf>
    <xf numFmtId="0" fontId="2" fillId="4" borderId="86" xfId="0" applyFont="1" applyFill="1" applyBorder="1" applyAlignment="1" applyProtection="1">
      <alignment horizontal="left" vertical="center" wrapText="1" indent="1"/>
      <protection hidden="1"/>
    </xf>
    <xf numFmtId="0" fontId="2" fillId="4" borderId="76" xfId="0" applyFont="1" applyFill="1" applyBorder="1" applyAlignment="1" applyProtection="1">
      <alignment horizontal="left" vertical="center" wrapText="1" indent="1"/>
      <protection hidden="1"/>
    </xf>
    <xf numFmtId="0" fontId="2" fillId="4" borderId="99" xfId="0" applyFont="1" applyFill="1" applyBorder="1" applyAlignment="1" applyProtection="1">
      <alignment horizontal="left" vertical="center" wrapText="1" indent="1"/>
      <protection hidden="1"/>
    </xf>
    <xf numFmtId="0" fontId="22" fillId="2" borderId="0" xfId="2" applyFont="1" applyFill="1" applyBorder="1" applyAlignment="1" applyProtection="1">
      <alignment horizontal="left" indent="5"/>
      <protection hidden="1"/>
    </xf>
    <xf numFmtId="0" fontId="2" fillId="4" borderId="80" xfId="0" applyFont="1" applyFill="1" applyBorder="1" applyAlignment="1" applyProtection="1">
      <alignment horizontal="left" vertical="center" wrapText="1"/>
      <protection hidden="1"/>
    </xf>
    <xf numFmtId="0" fontId="2" fillId="10" borderId="60" xfId="2" applyFont="1" applyFill="1" applyBorder="1" applyAlignment="1" applyProtection="1">
      <alignment horizontal="left" vertical="center" indent="6"/>
      <protection hidden="1"/>
    </xf>
    <xf numFmtId="0" fontId="2" fillId="10" borderId="61" xfId="2" applyFont="1" applyFill="1" applyBorder="1" applyAlignment="1" applyProtection="1">
      <alignment horizontal="left" vertical="center" indent="6"/>
      <protection hidden="1"/>
    </xf>
    <xf numFmtId="0" fontId="2" fillId="10" borderId="62" xfId="2" applyFont="1" applyFill="1" applyBorder="1" applyAlignment="1" applyProtection="1">
      <alignment horizontal="left" vertical="center" indent="6"/>
      <protection hidden="1"/>
    </xf>
    <xf numFmtId="0" fontId="2" fillId="10" borderId="25" xfId="2" applyFont="1" applyFill="1" applyBorder="1" applyAlignment="1" applyProtection="1">
      <alignment horizontal="left" vertical="center" indent="6"/>
      <protection hidden="1"/>
    </xf>
    <xf numFmtId="0" fontId="2" fillId="10" borderId="26" xfId="2" applyFont="1" applyFill="1" applyBorder="1" applyAlignment="1" applyProtection="1">
      <alignment horizontal="left" vertical="center" indent="6"/>
      <protection hidden="1"/>
    </xf>
    <xf numFmtId="0" fontId="2" fillId="10" borderId="27" xfId="2" applyFont="1" applyFill="1" applyBorder="1" applyAlignment="1" applyProtection="1">
      <alignment horizontal="left" vertical="center" indent="6"/>
      <protection hidden="1"/>
    </xf>
    <xf numFmtId="0" fontId="11" fillId="5" borderId="79" xfId="0" applyFont="1" applyFill="1" applyBorder="1" applyAlignment="1" applyProtection="1">
      <alignment horizontal="center" vertical="center" wrapText="1"/>
      <protection hidden="1"/>
    </xf>
    <xf numFmtId="0" fontId="14" fillId="20" borderId="86" xfId="0" applyFont="1" applyFill="1" applyBorder="1" applyAlignment="1" applyProtection="1">
      <alignment horizontal="center" vertical="center" wrapText="1"/>
      <protection locked="0"/>
    </xf>
    <xf numFmtId="0" fontId="14" fillId="20" borderId="101" xfId="0" applyFont="1" applyFill="1" applyBorder="1" applyAlignment="1" applyProtection="1">
      <alignment horizontal="center" vertical="center" wrapText="1"/>
      <protection locked="0"/>
    </xf>
    <xf numFmtId="0" fontId="11" fillId="5" borderId="65" xfId="2" applyFont="1" applyFill="1" applyBorder="1" applyAlignment="1" applyProtection="1">
      <alignment vertical="center"/>
      <protection hidden="1"/>
    </xf>
    <xf numFmtId="0" fontId="11" fillId="5" borderId="10" xfId="2" applyFont="1" applyFill="1" applyBorder="1" applyAlignment="1" applyProtection="1">
      <alignment horizontal="left" vertical="center" indent="1"/>
      <protection hidden="1"/>
    </xf>
    <xf numFmtId="0" fontId="11" fillId="5" borderId="78" xfId="0" applyFont="1" applyFill="1" applyBorder="1" applyAlignment="1" applyProtection="1">
      <alignment horizontal="center" vertical="center" wrapText="1"/>
      <protection hidden="1"/>
    </xf>
    <xf numFmtId="0" fontId="2" fillId="20" borderId="0" xfId="2"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indent="1"/>
      <protection hidden="1"/>
    </xf>
    <xf numFmtId="0" fontId="2" fillId="10" borderId="63" xfId="2" applyFill="1" applyBorder="1" applyAlignment="1" applyProtection="1">
      <alignment horizontal="left" vertical="center" wrapText="1" indent="7"/>
      <protection hidden="1"/>
    </xf>
    <xf numFmtId="0" fontId="2" fillId="10" borderId="0" xfId="2" applyFill="1" applyBorder="1" applyAlignment="1" applyProtection="1">
      <alignment horizontal="left" vertical="center" wrapText="1" indent="7"/>
      <protection hidden="1"/>
    </xf>
    <xf numFmtId="0" fontId="2" fillId="10" borderId="64" xfId="2" applyFill="1" applyBorder="1" applyAlignment="1" applyProtection="1">
      <alignment horizontal="left" vertical="center" wrapText="1" indent="7"/>
      <protection hidden="1"/>
    </xf>
    <xf numFmtId="0" fontId="14" fillId="2" borderId="35" xfId="0" applyFont="1" applyFill="1" applyBorder="1" applyAlignment="1" applyProtection="1">
      <alignment horizontal="left" vertical="center" wrapText="1"/>
      <protection hidden="1"/>
    </xf>
    <xf numFmtId="0" fontId="14" fillId="2" borderId="3" xfId="0" applyFont="1" applyFill="1" applyBorder="1" applyAlignment="1" applyProtection="1">
      <alignment horizontal="left" vertical="center" wrapText="1"/>
      <protection hidden="1"/>
    </xf>
    <xf numFmtId="0" fontId="14" fillId="2" borderId="38" xfId="0" applyFont="1" applyFill="1" applyBorder="1" applyAlignment="1" applyProtection="1">
      <alignment horizontal="left" vertical="center" wrapText="1"/>
      <protection hidden="1"/>
    </xf>
    <xf numFmtId="0" fontId="14" fillId="2" borderId="0" xfId="0" applyFont="1" applyFill="1" applyBorder="1" applyAlignment="1" applyProtection="1">
      <alignment horizontal="left" vertical="center" wrapText="1"/>
      <protection hidden="1"/>
    </xf>
    <xf numFmtId="0" fontId="2" fillId="10" borderId="60" xfId="2" applyFill="1" applyBorder="1" applyAlignment="1" applyProtection="1">
      <alignment horizontal="left" vertical="center" indent="7"/>
      <protection hidden="1"/>
    </xf>
    <xf numFmtId="0" fontId="2" fillId="10" borderId="61" xfId="2" applyFill="1" applyBorder="1" applyAlignment="1" applyProtection="1">
      <alignment horizontal="left" vertical="center" indent="7"/>
      <protection hidden="1"/>
    </xf>
    <xf numFmtId="0" fontId="2" fillId="10" borderId="62" xfId="2" applyFill="1" applyBorder="1" applyAlignment="1" applyProtection="1">
      <alignment horizontal="left" vertical="center" indent="7"/>
      <protection hidden="1"/>
    </xf>
    <xf numFmtId="0" fontId="17" fillId="5" borderId="4" xfId="0" applyFont="1" applyFill="1" applyBorder="1" applyAlignment="1" applyProtection="1">
      <alignment horizontal="center" vertical="center"/>
      <protection hidden="1"/>
    </xf>
    <xf numFmtId="0" fontId="14" fillId="20" borderId="32" xfId="0" applyFont="1" applyFill="1" applyBorder="1" applyAlignment="1" applyProtection="1">
      <alignment horizontal="left" vertical="center" wrapText="1" indent="1"/>
      <protection locked="0"/>
    </xf>
    <xf numFmtId="0" fontId="14" fillId="20" borderId="33" xfId="0" applyFont="1" applyFill="1" applyBorder="1" applyAlignment="1" applyProtection="1">
      <alignment horizontal="left" vertical="center" wrapText="1" indent="1"/>
      <protection locked="0"/>
    </xf>
    <xf numFmtId="0" fontId="11" fillId="5" borderId="8" xfId="0" applyFont="1" applyFill="1" applyBorder="1" applyAlignment="1" applyProtection="1">
      <alignment horizontal="left" vertical="center" wrapText="1" indent="1"/>
      <protection hidden="1"/>
    </xf>
    <xf numFmtId="0" fontId="11" fillId="5" borderId="7" xfId="2" applyFont="1" applyFill="1" applyBorder="1" applyAlignment="1" applyProtection="1">
      <alignment horizontal="left" vertical="center" indent="1"/>
      <protection hidden="1"/>
    </xf>
    <xf numFmtId="0" fontId="17" fillId="5" borderId="77" xfId="0" applyFont="1" applyFill="1" applyBorder="1" applyAlignment="1" applyProtection="1">
      <alignment horizontal="center" vertical="center"/>
      <protection hidden="1"/>
    </xf>
    <xf numFmtId="0" fontId="17" fillId="5" borderId="78" xfId="0" applyFont="1" applyFill="1" applyBorder="1" applyAlignment="1" applyProtection="1">
      <alignment horizontal="center" vertical="center"/>
      <protection hidden="1"/>
    </xf>
    <xf numFmtId="0" fontId="2" fillId="10" borderId="63" xfId="2" applyFont="1" applyFill="1" applyBorder="1" applyAlignment="1" applyProtection="1">
      <alignment horizontal="left" wrapText="1" indent="8"/>
      <protection hidden="1"/>
    </xf>
    <xf numFmtId="0" fontId="2" fillId="10" borderId="0" xfId="2" applyFont="1" applyFill="1" applyBorder="1" applyAlignment="1" applyProtection="1">
      <alignment horizontal="left" wrapText="1" indent="8"/>
      <protection hidden="1"/>
    </xf>
    <xf numFmtId="0" fontId="2" fillId="10" borderId="64" xfId="2" applyFont="1" applyFill="1" applyBorder="1" applyAlignment="1" applyProtection="1">
      <alignment horizontal="left" wrapText="1" indent="8"/>
      <protection hidden="1"/>
    </xf>
    <xf numFmtId="0" fontId="14" fillId="20" borderId="32" xfId="0" applyFont="1" applyFill="1" applyBorder="1" applyAlignment="1" applyProtection="1">
      <alignment horizontal="left" vertical="center" wrapText="1"/>
      <protection locked="0"/>
    </xf>
    <xf numFmtId="0" fontId="14" fillId="20" borderId="34" xfId="0" applyFont="1" applyFill="1" applyBorder="1" applyAlignment="1" applyProtection="1">
      <alignment horizontal="left" vertical="center" wrapText="1"/>
      <protection locked="0"/>
    </xf>
    <xf numFmtId="0" fontId="14" fillId="20" borderId="10" xfId="0" applyFont="1" applyFill="1" applyBorder="1" applyAlignment="1" applyProtection="1">
      <alignment horizontal="left" vertical="top" wrapText="1"/>
      <protection locked="0"/>
    </xf>
    <xf numFmtId="0" fontId="14" fillId="20" borderId="7" xfId="0" applyFont="1" applyFill="1" applyBorder="1" applyAlignment="1" applyProtection="1">
      <alignment horizontal="left" vertical="top" wrapText="1"/>
      <protection locked="0"/>
    </xf>
    <xf numFmtId="0" fontId="14" fillId="20" borderId="8" xfId="0" applyFont="1" applyFill="1" applyBorder="1" applyAlignment="1" applyProtection="1">
      <alignment horizontal="left" vertical="top" wrapText="1"/>
      <protection locked="0"/>
    </xf>
    <xf numFmtId="0" fontId="5" fillId="7" borderId="35" xfId="2" applyFont="1" applyFill="1" applyBorder="1" applyAlignment="1">
      <alignment horizontal="center" vertical="center" wrapText="1"/>
    </xf>
    <xf numFmtId="0" fontId="5" fillId="7" borderId="3" xfId="2" applyFont="1" applyFill="1" applyBorder="1" applyAlignment="1">
      <alignment horizontal="center" vertical="center" wrapText="1"/>
    </xf>
    <xf numFmtId="0" fontId="61" fillId="10" borderId="37" xfId="0" applyFont="1" applyFill="1" applyBorder="1" applyAlignment="1" applyProtection="1">
      <alignment horizontal="center" vertical="center"/>
      <protection hidden="1"/>
    </xf>
    <xf numFmtId="0" fontId="61" fillId="10" borderId="31" xfId="0" applyFont="1" applyFill="1" applyBorder="1" applyAlignment="1" applyProtection="1">
      <alignment horizontal="center" vertical="center"/>
      <protection hidden="1"/>
    </xf>
    <xf numFmtId="0" fontId="50" fillId="7" borderId="33" xfId="2" applyFont="1" applyFill="1" applyBorder="1" applyAlignment="1">
      <alignment horizontal="left" vertical="center"/>
    </xf>
    <xf numFmtId="0" fontId="50" fillId="7" borderId="0" xfId="2" applyFont="1" applyFill="1" applyBorder="1" applyAlignment="1">
      <alignment horizontal="left" vertical="center"/>
    </xf>
    <xf numFmtId="0" fontId="5" fillId="7" borderId="0" xfId="2" applyFont="1" applyFill="1" applyBorder="1" applyAlignment="1">
      <alignment horizontal="left" vertical="top" wrapText="1"/>
    </xf>
    <xf numFmtId="0" fontId="51" fillId="7" borderId="4" xfId="0" applyFont="1" applyFill="1" applyBorder="1" applyAlignment="1" applyProtection="1">
      <alignment horizontal="left" vertical="center" indent="1"/>
      <protection hidden="1"/>
    </xf>
    <xf numFmtId="0" fontId="51" fillId="7" borderId="4" xfId="0" applyFont="1" applyFill="1" applyBorder="1" applyAlignment="1" applyProtection="1">
      <alignment horizontal="center" vertical="center" wrapText="1"/>
      <protection hidden="1"/>
    </xf>
    <xf numFmtId="0" fontId="169" fillId="10" borderId="10" xfId="3" applyFont="1" applyFill="1" applyBorder="1" applyAlignment="1">
      <alignment horizontal="left" vertical="center" indent="1"/>
    </xf>
    <xf numFmtId="0" fontId="169" fillId="10" borderId="8" xfId="3" applyFont="1" applyFill="1" applyBorder="1" applyAlignment="1">
      <alignment horizontal="left" vertical="center" indent="1"/>
    </xf>
    <xf numFmtId="0" fontId="2" fillId="20" borderId="5" xfId="0" applyFont="1" applyFill="1" applyBorder="1" applyAlignment="1" applyProtection="1">
      <alignment horizontal="center" vertical="center" wrapText="1"/>
      <protection locked="0"/>
    </xf>
    <xf numFmtId="0" fontId="9" fillId="7" borderId="0" xfId="0" applyFont="1" applyFill="1" applyBorder="1" applyAlignment="1" applyProtection="1">
      <alignment horizontal="left" vertical="center" indent="1"/>
      <protection hidden="1"/>
    </xf>
    <xf numFmtId="0" fontId="168" fillId="2" borderId="0" xfId="3" applyFont="1" applyFill="1" applyAlignment="1" applyProtection="1">
      <alignment horizontal="center" vertical="center" wrapText="1"/>
      <protection hidden="1"/>
    </xf>
    <xf numFmtId="0" fontId="168" fillId="2" borderId="26" xfId="3" applyFont="1" applyFill="1" applyBorder="1" applyAlignment="1" applyProtection="1">
      <alignment horizontal="center" vertical="center" wrapText="1"/>
      <protection hidden="1"/>
    </xf>
    <xf numFmtId="0" fontId="10" fillId="7" borderId="0" xfId="0" applyFont="1" applyFill="1" applyBorder="1" applyAlignment="1" applyProtection="1">
      <alignment horizontal="left" vertical="center" indent="1"/>
      <protection hidden="1"/>
    </xf>
    <xf numFmtId="0" fontId="20" fillId="7" borderId="28" xfId="2" applyFont="1" applyFill="1" applyBorder="1" applyAlignment="1" applyProtection="1">
      <alignment horizontal="left" vertical="center" wrapText="1" indent="1"/>
      <protection hidden="1"/>
    </xf>
    <xf numFmtId="0" fontId="20" fillId="7" borderId="29" xfId="2" applyFont="1" applyFill="1" applyBorder="1" applyAlignment="1" applyProtection="1">
      <alignment horizontal="left" vertical="center" wrapText="1" indent="1"/>
      <protection hidden="1"/>
    </xf>
    <xf numFmtId="0" fontId="11" fillId="7" borderId="5" xfId="0" applyFont="1" applyFill="1" applyBorder="1" applyAlignment="1" applyProtection="1">
      <alignment horizontal="center" vertical="center" wrapText="1"/>
      <protection hidden="1"/>
    </xf>
    <xf numFmtId="0" fontId="13" fillId="7" borderId="10" xfId="0" applyFont="1" applyFill="1" applyBorder="1" applyAlignment="1" applyProtection="1">
      <alignment horizontal="left" vertical="center" indent="1"/>
      <protection hidden="1"/>
    </xf>
    <xf numFmtId="0" fontId="13" fillId="7" borderId="7" xfId="0" applyFont="1" applyFill="1" applyBorder="1" applyAlignment="1" applyProtection="1">
      <alignment horizontal="left" vertical="center" indent="1"/>
      <protection hidden="1"/>
    </xf>
    <xf numFmtId="0" fontId="13" fillId="7" borderId="33" xfId="0" applyFont="1" applyFill="1" applyBorder="1" applyAlignment="1" applyProtection="1">
      <alignment horizontal="center" vertical="center"/>
      <protection hidden="1"/>
    </xf>
    <xf numFmtId="0" fontId="13" fillId="7" borderId="34" xfId="0" applyFont="1" applyFill="1" applyBorder="1" applyAlignment="1" applyProtection="1">
      <alignment horizontal="center" vertical="center"/>
      <protection hidden="1"/>
    </xf>
    <xf numFmtId="0" fontId="11" fillId="7" borderId="5" xfId="0" applyFont="1" applyFill="1" applyBorder="1" applyAlignment="1" applyProtection="1">
      <alignment horizontal="left" vertical="center" wrapText="1" indent="1"/>
      <protection hidden="1"/>
    </xf>
    <xf numFmtId="0" fontId="2" fillId="20" borderId="5" xfId="0" applyFont="1" applyFill="1" applyBorder="1" applyAlignment="1" applyProtection="1">
      <alignment horizontal="left" vertical="center" wrapText="1"/>
      <protection locked="0"/>
    </xf>
    <xf numFmtId="0" fontId="28" fillId="10" borderId="5" xfId="3" applyFill="1" applyBorder="1" applyAlignment="1" applyProtection="1">
      <alignment horizontal="left" vertical="center"/>
      <protection hidden="1"/>
    </xf>
    <xf numFmtId="0" fontId="82" fillId="31" borderId="11" xfId="0" applyFont="1" applyFill="1" applyBorder="1" applyAlignment="1" applyProtection="1">
      <alignment horizontal="left" vertical="center"/>
      <protection locked="0"/>
    </xf>
    <xf numFmtId="0" fontId="82" fillId="31" borderId="12" xfId="0" applyFont="1" applyFill="1" applyBorder="1" applyAlignment="1" applyProtection="1">
      <alignment horizontal="left" vertical="center"/>
      <protection locked="0"/>
    </xf>
    <xf numFmtId="0" fontId="82" fillId="31" borderId="13" xfId="0" applyFont="1" applyFill="1" applyBorder="1" applyAlignment="1" applyProtection="1">
      <alignment horizontal="left" vertical="center"/>
      <protection locked="0"/>
    </xf>
    <xf numFmtId="0" fontId="28" fillId="10" borderId="12" xfId="3" applyFill="1" applyBorder="1" applyAlignment="1" applyProtection="1">
      <alignment horizontal="left" vertical="center"/>
      <protection hidden="1"/>
    </xf>
    <xf numFmtId="0" fontId="28" fillId="10" borderId="13" xfId="3" applyFill="1" applyBorder="1" applyAlignment="1" applyProtection="1">
      <alignment horizontal="left" vertical="center"/>
      <protection hidden="1"/>
    </xf>
    <xf numFmtId="0" fontId="28" fillId="10" borderId="0" xfId="3" applyFill="1" applyBorder="1" applyAlignment="1" applyProtection="1">
      <alignment horizontal="left" vertical="center"/>
      <protection hidden="1"/>
    </xf>
    <xf numFmtId="0" fontId="28" fillId="10" borderId="83" xfId="3" applyFill="1" applyBorder="1" applyAlignment="1" applyProtection="1">
      <alignment horizontal="left" vertical="center"/>
      <protection hidden="1"/>
    </xf>
    <xf numFmtId="0" fontId="82" fillId="31" borderId="85" xfId="0" applyFont="1" applyFill="1" applyBorder="1" applyAlignment="1" applyProtection="1">
      <alignment horizontal="left" vertical="center"/>
      <protection locked="0"/>
    </xf>
    <xf numFmtId="0" fontId="82" fillId="31" borderId="14" xfId="0" applyFont="1" applyFill="1" applyBorder="1" applyAlignment="1" applyProtection="1">
      <alignment horizontal="left" vertical="center"/>
      <protection locked="0"/>
    </xf>
    <xf numFmtId="0" fontId="82" fillId="31" borderId="84" xfId="0" applyFont="1" applyFill="1" applyBorder="1" applyAlignment="1" applyProtection="1">
      <alignment horizontal="left" vertical="center"/>
      <protection locked="0"/>
    </xf>
    <xf numFmtId="0" fontId="28" fillId="10" borderId="23" xfId="3" applyFill="1" applyBorder="1" applyAlignment="1" applyProtection="1">
      <alignment horizontal="left" vertical="center"/>
      <protection hidden="1"/>
    </xf>
    <xf numFmtId="0" fontId="28" fillId="10" borderId="142" xfId="3" applyFill="1" applyBorder="1" applyAlignment="1" applyProtection="1">
      <alignment horizontal="left" vertical="center"/>
      <protection hidden="1"/>
    </xf>
    <xf numFmtId="0" fontId="89" fillId="3" borderId="26" xfId="0" applyFont="1" applyFill="1" applyBorder="1" applyAlignment="1" applyProtection="1">
      <alignment horizontal="left" vertical="center" indent="1"/>
      <protection hidden="1"/>
    </xf>
    <xf numFmtId="0" fontId="177" fillId="10" borderId="0" xfId="0" applyFont="1" applyFill="1" applyAlignment="1" applyProtection="1">
      <alignment horizontal="left" vertical="center" wrapText="1" indent="3"/>
      <protection hidden="1"/>
    </xf>
    <xf numFmtId="0" fontId="93" fillId="29" borderId="14" xfId="0" applyFont="1" applyFill="1" applyBorder="1" applyAlignment="1" applyProtection="1">
      <alignment horizontal="left" vertical="center"/>
      <protection hidden="1"/>
    </xf>
    <xf numFmtId="0" fontId="93" fillId="29" borderId="14" xfId="0" applyFont="1" applyFill="1" applyBorder="1" applyAlignment="1" applyProtection="1">
      <alignment horizontal="center" vertical="center"/>
      <protection hidden="1"/>
    </xf>
    <xf numFmtId="0" fontId="93" fillId="29" borderId="84" xfId="0" applyFont="1" applyFill="1" applyBorder="1" applyAlignment="1" applyProtection="1">
      <alignment horizontal="center" vertical="center"/>
      <protection hidden="1"/>
    </xf>
    <xf numFmtId="0" fontId="28" fillId="10" borderId="14" xfId="3" applyFill="1" applyBorder="1" applyAlignment="1" applyProtection="1">
      <alignment horizontal="left" vertical="center"/>
      <protection hidden="1"/>
    </xf>
    <xf numFmtId="0" fontId="28" fillId="10" borderId="84" xfId="3" applyFill="1" applyBorder="1" applyAlignment="1" applyProtection="1">
      <alignment horizontal="left" vertical="center"/>
      <protection hidden="1"/>
    </xf>
    <xf numFmtId="0" fontId="2" fillId="11" borderId="0" xfId="2" applyFont="1" applyFill="1" applyBorder="1" applyAlignment="1">
      <alignment horizontal="left" vertical="center" wrapText="1"/>
    </xf>
    <xf numFmtId="0" fontId="115" fillId="0" borderId="0" xfId="0" applyFont="1" applyAlignment="1">
      <alignment horizontal="left" vertical="center" wrapText="1"/>
    </xf>
    <xf numFmtId="0" fontId="2" fillId="11" borderId="0" xfId="2" applyFont="1" applyFill="1" applyBorder="1" applyAlignment="1">
      <alignment horizontal="left" wrapText="1"/>
    </xf>
    <xf numFmtId="0" fontId="2" fillId="11" borderId="0" xfId="2" applyFont="1" applyFill="1" applyBorder="1" applyAlignment="1">
      <alignment horizontal="left" vertical="center"/>
    </xf>
    <xf numFmtId="0" fontId="113" fillId="11" borderId="0" xfId="2" applyFont="1" applyFill="1" applyAlignment="1">
      <alignment horizontal="left" vertical="center" wrapText="1"/>
    </xf>
    <xf numFmtId="0" fontId="16" fillId="3" borderId="0" xfId="0" applyFont="1" applyFill="1" applyBorder="1" applyAlignment="1" applyProtection="1">
      <alignment horizontal="left" vertical="center" indent="1"/>
      <protection hidden="1"/>
    </xf>
    <xf numFmtId="0" fontId="2" fillId="11" borderId="0" xfId="2" applyFont="1" applyFill="1" applyAlignment="1">
      <alignment horizontal="left" vertical="center" wrapText="1"/>
    </xf>
    <xf numFmtId="0" fontId="86" fillId="15" borderId="4" xfId="0" applyFont="1" applyFill="1" applyBorder="1" applyAlignment="1">
      <alignment horizontal="center" vertical="center" wrapText="1"/>
    </xf>
    <xf numFmtId="0" fontId="2" fillId="2" borderId="0" xfId="2" applyFont="1" applyFill="1" applyAlignment="1">
      <alignment horizontal="center" vertical="center"/>
    </xf>
    <xf numFmtId="0" fontId="49" fillId="16" borderId="109" xfId="0" applyFont="1" applyFill="1" applyBorder="1" applyAlignment="1">
      <alignment horizontal="center" vertical="center" wrapText="1"/>
    </xf>
    <xf numFmtId="0" fontId="49" fillId="16" borderId="0" xfId="0" applyFont="1" applyFill="1" applyBorder="1" applyAlignment="1">
      <alignment horizontal="center" vertical="center" wrapText="1"/>
    </xf>
    <xf numFmtId="0" fontId="86" fillId="15" borderId="32" xfId="0" applyFont="1" applyFill="1" applyBorder="1" applyAlignment="1">
      <alignment horizontal="center" vertical="center" wrapText="1"/>
    </xf>
    <xf numFmtId="0" fontId="86" fillId="15" borderId="34" xfId="0" applyFont="1" applyFill="1" applyBorder="1" applyAlignment="1">
      <alignment horizontal="center" vertical="center" wrapText="1"/>
    </xf>
    <xf numFmtId="0" fontId="86" fillId="15" borderId="35" xfId="0" applyFont="1" applyFill="1" applyBorder="1" applyAlignment="1">
      <alignment horizontal="center" vertical="center" wrapText="1"/>
    </xf>
    <xf numFmtId="0" fontId="86" fillId="15" borderId="36" xfId="0" applyFont="1" applyFill="1" applyBorder="1" applyAlignment="1">
      <alignment horizontal="center" vertical="center" wrapText="1"/>
    </xf>
    <xf numFmtId="0" fontId="2" fillId="2" borderId="0" xfId="2" applyFont="1" applyFill="1" applyBorder="1" applyAlignment="1">
      <alignment horizontal="center" vertical="center"/>
    </xf>
    <xf numFmtId="0" fontId="49" fillId="16" borderId="0" xfId="0" applyFont="1" applyFill="1" applyAlignment="1">
      <alignment horizontal="center" vertical="center" wrapText="1"/>
    </xf>
    <xf numFmtId="0" fontId="49" fillId="16" borderId="3" xfId="0" applyFont="1" applyFill="1" applyBorder="1" applyAlignment="1">
      <alignment horizontal="center" vertical="center" wrapText="1"/>
    </xf>
    <xf numFmtId="0" fontId="86" fillId="15" borderId="37" xfId="0" applyFont="1" applyFill="1" applyBorder="1" applyAlignment="1">
      <alignment horizontal="center" vertical="center" wrapText="1"/>
    </xf>
    <xf numFmtId="0" fontId="86" fillId="15" borderId="31" xfId="0" applyFont="1" applyFill="1" applyBorder="1" applyAlignment="1">
      <alignment horizontal="center" vertical="center" wrapText="1"/>
    </xf>
    <xf numFmtId="0" fontId="16" fillId="16" borderId="0" xfId="0" applyFont="1" applyFill="1" applyBorder="1" applyAlignment="1" applyProtection="1">
      <alignment horizontal="left" vertical="center" indent="1"/>
      <protection hidden="1"/>
    </xf>
    <xf numFmtId="0" fontId="2" fillId="20" borderId="10" xfId="2" applyFont="1" applyFill="1" applyBorder="1" applyAlignment="1" applyProtection="1">
      <alignment horizontal="center" vertical="center"/>
      <protection locked="0"/>
    </xf>
    <xf numFmtId="0" fontId="2" fillId="20" borderId="8" xfId="2" applyFont="1" applyFill="1" applyBorder="1" applyAlignment="1" applyProtection="1">
      <alignment horizontal="center" vertical="center"/>
      <protection locked="0"/>
    </xf>
    <xf numFmtId="2" fontId="2" fillId="10" borderId="10" xfId="2" applyNumberFormat="1" applyFont="1" applyFill="1" applyBorder="1" applyAlignment="1" applyProtection="1">
      <alignment horizontal="center" vertical="center"/>
      <protection hidden="1"/>
    </xf>
    <xf numFmtId="2" fontId="2" fillId="10" borderId="8" xfId="2" applyNumberFormat="1" applyFont="1" applyFill="1" applyBorder="1" applyAlignment="1" applyProtection="1">
      <alignment horizontal="center" vertical="center"/>
      <protection hidden="1"/>
    </xf>
    <xf numFmtId="0" fontId="11" fillId="21" borderId="7" xfId="2" applyFont="1" applyFill="1" applyBorder="1" applyAlignment="1" applyProtection="1">
      <alignment horizontal="center" vertical="center"/>
      <protection hidden="1"/>
    </xf>
    <xf numFmtId="0" fontId="49" fillId="21" borderId="7" xfId="0" applyFont="1" applyFill="1" applyBorder="1" applyAlignment="1">
      <alignment horizontal="center" vertical="center" wrapText="1"/>
    </xf>
    <xf numFmtId="0" fontId="49" fillId="21" borderId="8" xfId="0" applyFont="1" applyFill="1" applyBorder="1" applyAlignment="1">
      <alignment horizontal="center" vertical="center" wrapText="1"/>
    </xf>
    <xf numFmtId="2" fontId="2" fillId="10" borderId="35" xfId="2" applyNumberFormat="1" applyFont="1" applyFill="1" applyBorder="1" applyAlignment="1" applyProtection="1">
      <alignment horizontal="center" vertical="center"/>
      <protection hidden="1"/>
    </xf>
    <xf numFmtId="2" fontId="2" fillId="10" borderId="36" xfId="2" applyNumberFormat="1" applyFont="1" applyFill="1" applyBorder="1" applyAlignment="1" applyProtection="1">
      <alignment horizontal="center" vertical="center"/>
      <protection hidden="1"/>
    </xf>
    <xf numFmtId="0" fontId="86" fillId="15" borderId="4" xfId="0" applyFont="1" applyFill="1" applyBorder="1" applyAlignment="1">
      <alignment horizontal="left" vertical="center" wrapText="1" indent="1"/>
    </xf>
    <xf numFmtId="0" fontId="86" fillId="4" borderId="4" xfId="0" applyFont="1" applyFill="1" applyBorder="1" applyAlignment="1">
      <alignment horizontal="left" vertical="center" wrapText="1" indent="1"/>
    </xf>
    <xf numFmtId="0" fontId="49" fillId="16" borderId="4" xfId="0" applyFont="1" applyFill="1" applyBorder="1" applyAlignment="1">
      <alignment horizontal="center" vertical="center" wrapText="1"/>
    </xf>
    <xf numFmtId="0" fontId="75" fillId="2" borderId="0" xfId="0" applyFont="1" applyFill="1" applyAlignment="1">
      <alignment horizontal="center"/>
    </xf>
    <xf numFmtId="0" fontId="86" fillId="15" borderId="77" xfId="0" applyFont="1" applyFill="1" applyBorder="1" applyAlignment="1">
      <alignment horizontal="center" vertical="center" wrapText="1"/>
    </xf>
    <xf numFmtId="0" fontId="86" fillId="15" borderId="78" xfId="0" applyFont="1" applyFill="1" applyBorder="1" applyAlignment="1">
      <alignment horizontal="center" vertical="center" wrapText="1"/>
    </xf>
    <xf numFmtId="0" fontId="21" fillId="2" borderId="33" xfId="2" applyFont="1" applyFill="1" applyBorder="1" applyAlignment="1" applyProtection="1">
      <alignment horizontal="center" vertical="top"/>
      <protection hidden="1"/>
    </xf>
    <xf numFmtId="0" fontId="2" fillId="2" borderId="0" xfId="2" applyFont="1" applyFill="1" applyBorder="1" applyAlignment="1" applyProtection="1">
      <alignment horizontal="center" vertical="center" wrapText="1"/>
      <protection hidden="1"/>
    </xf>
    <xf numFmtId="0" fontId="65" fillId="2" borderId="63" xfId="0" applyFont="1" applyFill="1" applyBorder="1" applyAlignment="1">
      <alignment horizontal="left" vertical="center" wrapText="1" indent="1"/>
    </xf>
    <xf numFmtId="0" fontId="65" fillId="2" borderId="0" xfId="0" applyFont="1" applyFill="1" applyAlignment="1">
      <alignment horizontal="left" vertical="center" wrapText="1" indent="1"/>
    </xf>
    <xf numFmtId="0" fontId="2" fillId="2" borderId="0" xfId="2" applyFont="1" applyFill="1" applyBorder="1" applyAlignment="1">
      <alignment horizontal="left" vertical="center" wrapText="1" indent="7"/>
    </xf>
    <xf numFmtId="0" fontId="49" fillId="3" borderId="4" xfId="0" applyFont="1" applyFill="1" applyBorder="1" applyAlignment="1">
      <alignment horizontal="left" vertical="center" wrapText="1" indent="1"/>
    </xf>
    <xf numFmtId="0" fontId="49" fillId="3" borderId="10" xfId="0" applyFont="1" applyFill="1" applyBorder="1" applyAlignment="1">
      <alignment horizontal="left" vertical="center" wrapText="1" indent="1"/>
    </xf>
    <xf numFmtId="0" fontId="49" fillId="6" borderId="4"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9" fillId="6" borderId="76" xfId="0" applyFont="1" applyFill="1" applyBorder="1" applyAlignment="1">
      <alignment horizontal="center" vertical="center" wrapText="1"/>
    </xf>
    <xf numFmtId="0" fontId="49" fillId="6" borderId="65" xfId="0" applyFont="1" applyFill="1" applyBorder="1" applyAlignment="1">
      <alignment horizontal="center" vertical="center" wrapText="1"/>
    </xf>
    <xf numFmtId="0" fontId="86" fillId="15" borderId="65" xfId="0" applyFont="1" applyFill="1" applyBorder="1" applyAlignment="1">
      <alignment horizontal="center" vertical="center" wrapText="1"/>
    </xf>
    <xf numFmtId="0" fontId="2" fillId="2" borderId="76" xfId="2" applyFont="1" applyFill="1" applyBorder="1" applyAlignment="1">
      <alignment horizontal="left" wrapText="1"/>
    </xf>
    <xf numFmtId="0" fontId="22" fillId="2" borderId="0" xfId="2" applyFont="1" applyFill="1" applyBorder="1" applyAlignment="1">
      <alignment horizontal="left" vertical="center" wrapText="1" indent="3"/>
    </xf>
    <xf numFmtId="0" fontId="2" fillId="2" borderId="0" xfId="2" applyFont="1" applyFill="1" applyBorder="1" applyAlignment="1">
      <alignment horizontal="left" vertical="center" wrapText="1" indent="3"/>
    </xf>
    <xf numFmtId="0" fontId="16" fillId="8" borderId="0" xfId="0" applyFont="1" applyFill="1" applyBorder="1" applyAlignment="1" applyProtection="1">
      <alignment horizontal="left" vertical="center" indent="1"/>
      <protection hidden="1"/>
    </xf>
    <xf numFmtId="0" fontId="16" fillId="6" borderId="0" xfId="0" applyFont="1" applyFill="1" applyBorder="1" applyAlignment="1" applyProtection="1">
      <alignment horizontal="left" vertical="center" indent="1"/>
      <protection hidden="1"/>
    </xf>
    <xf numFmtId="0" fontId="21" fillId="2" borderId="0" xfId="2" applyFont="1" applyFill="1" applyBorder="1" applyAlignment="1">
      <alignment horizontal="left" vertical="center" wrapText="1" indent="3"/>
    </xf>
    <xf numFmtId="0" fontId="21" fillId="2" borderId="0" xfId="2" applyFont="1" applyFill="1" applyBorder="1" applyAlignment="1">
      <alignment horizontal="center" vertical="center" wrapText="1"/>
    </xf>
    <xf numFmtId="0" fontId="49" fillId="3" borderId="75" xfId="0" applyFont="1" applyFill="1" applyBorder="1" applyAlignment="1">
      <alignment horizontal="left" vertical="center" wrapText="1" indent="1"/>
    </xf>
    <xf numFmtId="0" fontId="49" fillId="3" borderId="38" xfId="0" applyFont="1" applyFill="1" applyBorder="1" applyAlignment="1">
      <alignment horizontal="left" vertical="center" wrapText="1" indent="1"/>
    </xf>
    <xf numFmtId="0" fontId="49" fillId="3" borderId="0" xfId="0" applyFont="1" applyFill="1" applyBorder="1" applyAlignment="1">
      <alignment horizontal="center" vertical="center" wrapText="1"/>
    </xf>
    <xf numFmtId="0" fontId="52" fillId="24" borderId="41" xfId="4" applyFont="1" applyFill="1" applyBorder="1" applyAlignment="1">
      <alignment horizontal="left" vertical="distributed" wrapText="1" indent="2"/>
    </xf>
    <xf numFmtId="0" fontId="52" fillId="24" borderId="42" xfId="4" applyFont="1" applyFill="1" applyBorder="1" applyAlignment="1">
      <alignment horizontal="left" vertical="distributed" wrapText="1" indent="2"/>
    </xf>
    <xf numFmtId="0" fontId="82" fillId="20" borderId="0" xfId="0" applyFont="1" applyFill="1" applyBorder="1" applyAlignment="1" applyProtection="1">
      <alignment horizontal="left" vertical="center" wrapText="1"/>
      <protection locked="0"/>
    </xf>
    <xf numFmtId="0" fontId="82" fillId="31" borderId="12" xfId="0" applyFont="1" applyFill="1" applyBorder="1" applyAlignment="1" applyProtection="1">
      <alignment vertical="center" wrapText="1"/>
      <protection locked="0"/>
    </xf>
    <xf numFmtId="0" fontId="82" fillId="31" borderId="13" xfId="0" applyFont="1" applyFill="1" applyBorder="1" applyAlignment="1" applyProtection="1">
      <alignment vertical="center" wrapText="1"/>
      <protection locked="0"/>
    </xf>
    <xf numFmtId="0" fontId="82" fillId="20" borderId="14" xfId="0" applyFont="1" applyFill="1" applyBorder="1" applyAlignment="1" applyProtection="1">
      <alignment vertical="center" wrapText="1"/>
      <protection locked="0"/>
    </xf>
    <xf numFmtId="0" fontId="82" fillId="20" borderId="84" xfId="0" applyFont="1" applyFill="1" applyBorder="1" applyAlignment="1" applyProtection="1">
      <alignment vertical="center" wrapText="1"/>
      <protection locked="0"/>
    </xf>
    <xf numFmtId="0" fontId="28" fillId="25" borderId="81" xfId="3" applyFont="1" applyFill="1" applyBorder="1" applyAlignment="1">
      <alignment horizontal="left" vertical="center"/>
    </xf>
    <xf numFmtId="0" fontId="28" fillId="25" borderId="81" xfId="3" applyFill="1" applyBorder="1" applyAlignment="1">
      <alignment horizontal="left" vertical="center"/>
    </xf>
    <xf numFmtId="0" fontId="93" fillId="29" borderId="0" xfId="0" applyFont="1" applyFill="1" applyAlignment="1">
      <alignment horizontal="left" vertical="center"/>
    </xf>
    <xf numFmtId="0" fontId="82" fillId="20" borderId="85" xfId="0" applyFont="1" applyFill="1" applyBorder="1" applyAlignment="1" applyProtection="1">
      <alignment horizontal="left" vertical="center"/>
      <protection locked="0"/>
    </xf>
    <xf numFmtId="0" fontId="82" fillId="20" borderId="14" xfId="0" applyFont="1" applyFill="1" applyBorder="1" applyAlignment="1" applyProtection="1">
      <alignment horizontal="left" vertical="center"/>
      <protection locked="0"/>
    </xf>
    <xf numFmtId="0" fontId="82" fillId="20" borderId="84" xfId="0" applyFont="1" applyFill="1" applyBorder="1" applyAlignment="1" applyProtection="1">
      <alignment horizontal="left" vertical="center"/>
      <protection locked="0"/>
    </xf>
    <xf numFmtId="0" fontId="91" fillId="25" borderId="0" xfId="0" applyFont="1" applyFill="1" applyBorder="1" applyAlignment="1">
      <alignment horizontal="left" vertical="center"/>
    </xf>
    <xf numFmtId="0" fontId="91" fillId="25" borderId="12" xfId="0" applyFont="1" applyFill="1" applyBorder="1" applyAlignment="1">
      <alignment horizontal="left" vertical="center"/>
    </xf>
    <xf numFmtId="0" fontId="28" fillId="25" borderId="0" xfId="3" applyFill="1" applyBorder="1" applyAlignment="1">
      <alignment horizontal="left" vertical="center"/>
    </xf>
    <xf numFmtId="0" fontId="0" fillId="10" borderId="81" xfId="0" applyFont="1" applyFill="1" applyBorder="1" applyAlignment="1">
      <alignment horizontal="left" indent="1"/>
    </xf>
    <xf numFmtId="0" fontId="0" fillId="20" borderId="81" xfId="0" applyFont="1" applyFill="1" applyBorder="1" applyAlignment="1" applyProtection="1">
      <alignment horizontal="center"/>
      <protection locked="0"/>
    </xf>
    <xf numFmtId="0" fontId="93" fillId="29" borderId="82" xfId="0" applyFont="1" applyFill="1" applyBorder="1" applyAlignment="1">
      <alignment horizontal="left" vertical="center"/>
    </xf>
    <xf numFmtId="0" fontId="93" fillId="29" borderId="0" xfId="0" applyFont="1" applyFill="1" applyBorder="1" applyAlignment="1">
      <alignment horizontal="left" vertical="center"/>
    </xf>
    <xf numFmtId="0" fontId="93" fillId="29" borderId="83" xfId="0" applyFont="1" applyFill="1" applyBorder="1" applyAlignment="1">
      <alignment horizontal="left" vertical="center"/>
    </xf>
    <xf numFmtId="0" fontId="93" fillId="29" borderId="85" xfId="0" applyFont="1" applyFill="1" applyBorder="1" applyAlignment="1">
      <alignment horizontal="left" vertical="center"/>
    </xf>
    <xf numFmtId="0" fontId="93" fillId="29" borderId="14" xfId="0" applyFont="1" applyFill="1" applyBorder="1" applyAlignment="1">
      <alignment horizontal="left" vertical="center"/>
    </xf>
    <xf numFmtId="0" fontId="93" fillId="29" borderId="84" xfId="0" applyFont="1" applyFill="1" applyBorder="1" applyAlignment="1">
      <alignment horizontal="left" vertical="center"/>
    </xf>
    <xf numFmtId="0" fontId="93" fillId="29" borderId="81" xfId="0" applyFont="1" applyFill="1" applyBorder="1" applyAlignment="1">
      <alignment horizontal="left" vertical="center"/>
    </xf>
    <xf numFmtId="0" fontId="82" fillId="20" borderId="81" xfId="0" applyFont="1" applyFill="1" applyBorder="1" applyAlignment="1" applyProtection="1">
      <alignment horizontal="center" vertical="center" wrapText="1"/>
      <protection locked="0"/>
    </xf>
    <xf numFmtId="0" fontId="91" fillId="25" borderId="24" xfId="0" applyFont="1" applyFill="1" applyBorder="1" applyAlignment="1">
      <alignment horizontal="left" vertical="center"/>
    </xf>
    <xf numFmtId="0" fontId="91" fillId="25" borderId="21" xfId="0" applyFont="1" applyFill="1" applyBorder="1" applyAlignment="1">
      <alignment horizontal="left" vertical="center"/>
    </xf>
    <xf numFmtId="0" fontId="91" fillId="25" borderId="14" xfId="0" applyFont="1" applyFill="1" applyBorder="1" applyAlignment="1">
      <alignment horizontal="left" vertical="center"/>
    </xf>
    <xf numFmtId="0" fontId="91" fillId="25" borderId="6" xfId="0" applyFont="1" applyFill="1" applyBorder="1" applyAlignment="1">
      <alignment horizontal="left" vertical="center"/>
    </xf>
    <xf numFmtId="0" fontId="28" fillId="25" borderId="12" xfId="3" applyFill="1" applyBorder="1" applyAlignment="1">
      <alignment horizontal="left" vertical="center"/>
    </xf>
    <xf numFmtId="0" fontId="28" fillId="25" borderId="23" xfId="3" applyFill="1" applyBorder="1" applyAlignment="1">
      <alignment horizontal="left" vertical="center"/>
    </xf>
    <xf numFmtId="0" fontId="91" fillId="25" borderId="96" xfId="0" applyFont="1" applyFill="1" applyBorder="1" applyAlignment="1">
      <alignment horizontal="left" vertical="center"/>
    </xf>
    <xf numFmtId="0" fontId="82" fillId="20" borderId="11" xfId="0" applyFont="1" applyFill="1" applyBorder="1" applyAlignment="1" applyProtection="1">
      <alignment vertical="center" wrapText="1"/>
      <protection locked="0"/>
    </xf>
    <xf numFmtId="0" fontId="82" fillId="20" borderId="12" xfId="0" applyFont="1" applyFill="1" applyBorder="1" applyAlignment="1" applyProtection="1">
      <alignment vertical="center" wrapText="1"/>
      <protection locked="0"/>
    </xf>
    <xf numFmtId="0" fontId="82" fillId="20" borderId="13" xfId="0" applyFont="1" applyFill="1" applyBorder="1" applyAlignment="1" applyProtection="1">
      <alignment vertical="center" wrapText="1"/>
      <protection locked="0"/>
    </xf>
    <xf numFmtId="0" fontId="13" fillId="21" borderId="7"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2" fontId="14" fillId="10" borderId="4" xfId="0" applyNumberFormat="1" applyFont="1" applyFill="1" applyBorder="1" applyAlignment="1">
      <alignment horizontal="center" vertical="center" wrapText="1"/>
    </xf>
  </cellXfs>
  <cellStyles count="7">
    <cellStyle name="Excel Built-in Normal" xfId="4" xr:uid="{00000000-0005-0000-0000-000000000000}"/>
    <cellStyle name="Hyperlink" xfId="3" builtinId="8"/>
    <cellStyle name="Hyperlink 2" xfId="5" xr:uid="{00000000-0005-0000-0000-000002000000}"/>
    <cellStyle name="Normal" xfId="0" builtinId="0"/>
    <cellStyle name="Normal 2" xfId="2" xr:uid="{00000000-0005-0000-0000-000004000000}"/>
    <cellStyle name="Normal 2 2" xfId="6" xr:uid="{00000000-0005-0000-0000-000005000000}"/>
    <cellStyle name="Percent" xfId="1" builtinId="5"/>
  </cellStyles>
  <dxfs count="377">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14996795556505021"/>
      </font>
      <fill>
        <patternFill>
          <bgColor theme="0" tint="-0.1499679555650502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font>
      <fill>
        <patternFill>
          <bgColor rgb="FF58B527"/>
        </patternFill>
      </fill>
    </dxf>
    <dxf>
      <font>
        <color theme="0"/>
      </font>
      <fill>
        <patternFill>
          <bgColor rgb="FFFF0000"/>
        </patternFill>
      </fill>
    </dxf>
    <dxf>
      <font>
        <color theme="0"/>
      </font>
      <fill>
        <patternFill>
          <bgColor theme="0" tint="-0.499984740745262"/>
        </patternFill>
      </fill>
    </dxf>
    <dxf>
      <font>
        <color theme="0"/>
      </font>
      <fill>
        <patternFill>
          <bgColor rgb="FFFFC000"/>
        </patternFill>
      </fill>
    </dxf>
    <dxf>
      <font>
        <color theme="0"/>
      </font>
      <fill>
        <patternFill>
          <bgColor theme="8" tint="-0.499984740745262"/>
        </patternFill>
      </fill>
    </dxf>
    <dxf>
      <font>
        <color theme="0"/>
      </font>
      <fill>
        <patternFill>
          <bgColor rgb="FF58B527"/>
        </patternFill>
      </fill>
    </dxf>
    <dxf>
      <font>
        <color theme="0"/>
      </font>
      <fill>
        <patternFill>
          <bgColor rgb="FFFF0000"/>
        </patternFill>
      </fill>
    </dxf>
    <dxf>
      <font>
        <color theme="0"/>
      </font>
      <fill>
        <patternFill>
          <bgColor theme="0" tint="-0.499984740745262"/>
        </patternFill>
      </fill>
    </dxf>
    <dxf>
      <font>
        <color theme="0"/>
      </font>
      <fill>
        <patternFill>
          <bgColor rgb="FFFFC000"/>
        </patternFill>
      </fill>
    </dxf>
    <dxf>
      <font>
        <color theme="0"/>
      </font>
      <fill>
        <patternFill>
          <bgColor theme="8" tint="-0.499984740745262"/>
        </patternFill>
      </fill>
    </dxf>
    <dxf>
      <font>
        <color theme="0"/>
      </font>
      <fill>
        <patternFill>
          <bgColor rgb="FF58B527"/>
        </patternFill>
      </fill>
    </dxf>
    <dxf>
      <font>
        <color theme="0"/>
      </font>
      <fill>
        <patternFill>
          <bgColor rgb="FFFF0000"/>
        </patternFill>
      </fill>
    </dxf>
    <dxf>
      <font>
        <color theme="0"/>
      </font>
      <fill>
        <patternFill>
          <bgColor theme="0" tint="-0.499984740745262"/>
        </patternFill>
      </fill>
    </dxf>
    <dxf>
      <font>
        <color theme="0"/>
      </font>
      <fill>
        <patternFill>
          <bgColor rgb="FFFFC000"/>
        </patternFill>
      </fill>
    </dxf>
    <dxf>
      <font>
        <color theme="0"/>
      </font>
      <fill>
        <patternFill>
          <bgColor theme="8" tint="-0.499984740745262"/>
        </patternFill>
      </fill>
    </dxf>
  </dxfs>
  <tableStyles count="0" defaultTableStyle="TableStyleMedium2" defaultPivotStyle="PivotStyleLight16"/>
  <colors>
    <mruColors>
      <color rgb="FF58AB27"/>
      <color rgb="FF76923C"/>
      <color rgb="FF943634"/>
      <color rgb="FF984806"/>
      <color rgb="FF58B527"/>
      <color rgb="FF5F4970"/>
      <color rgb="FF0070C0"/>
      <color rgb="FFD9D9D9"/>
      <color rgb="FF0563C1"/>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41335980100099"/>
          <c:y val="2.4700282454767082E-2"/>
          <c:w val="0.57416272340861996"/>
          <c:h val="0.88304393377045853"/>
        </c:manualLayout>
      </c:layout>
      <c:doughnutChart>
        <c:varyColors val="1"/>
        <c:ser>
          <c:idx val="1"/>
          <c:order val="0"/>
          <c:spPr>
            <a:solidFill>
              <a:schemeClr val="accent1"/>
            </a:solidFill>
          </c:spPr>
          <c:dPt>
            <c:idx val="0"/>
            <c:bubble3D val="0"/>
            <c:spPr>
              <a:solidFill>
                <a:srgbClr val="FF0000"/>
              </a:solidFill>
            </c:spPr>
            <c:extLst>
              <c:ext xmlns:c16="http://schemas.microsoft.com/office/drawing/2014/chart" uri="{C3380CC4-5D6E-409C-BE32-E72D297353CC}">
                <c16:uniqueId val="{00000001-C78E-413F-AEF6-1D3F805099ED}"/>
              </c:ext>
            </c:extLst>
          </c:dPt>
          <c:dPt>
            <c:idx val="1"/>
            <c:bubble3D val="0"/>
            <c:spPr>
              <a:solidFill>
                <a:srgbClr val="58B527"/>
              </a:solidFill>
            </c:spPr>
            <c:extLst>
              <c:ext xmlns:c16="http://schemas.microsoft.com/office/drawing/2014/chart" uri="{C3380CC4-5D6E-409C-BE32-E72D297353CC}">
                <c16:uniqueId val="{00000003-C78E-413F-AEF6-1D3F805099ED}"/>
              </c:ext>
            </c:extLst>
          </c:dPt>
          <c:dPt>
            <c:idx val="2"/>
            <c:bubble3D val="0"/>
            <c:spPr>
              <a:solidFill>
                <a:schemeClr val="bg1">
                  <a:lumMod val="50000"/>
                </a:schemeClr>
              </a:solidFill>
            </c:spPr>
            <c:extLst>
              <c:ext xmlns:c16="http://schemas.microsoft.com/office/drawing/2014/chart" uri="{C3380CC4-5D6E-409C-BE32-E72D297353CC}">
                <c16:uniqueId val="{00000005-C78E-413F-AEF6-1D3F805099ED}"/>
              </c:ext>
            </c:extLst>
          </c:dPt>
          <c:dPt>
            <c:idx val="3"/>
            <c:bubble3D val="0"/>
            <c:spPr>
              <a:solidFill>
                <a:srgbClr val="FFC000"/>
              </a:solidFill>
            </c:spPr>
            <c:extLst>
              <c:ext xmlns:c16="http://schemas.microsoft.com/office/drawing/2014/chart" uri="{C3380CC4-5D6E-409C-BE32-E72D297353CC}">
                <c16:uniqueId val="{00000007-C78E-413F-AEF6-1D3F805099ED}"/>
              </c:ext>
            </c:extLst>
          </c:dPt>
          <c:dPt>
            <c:idx val="4"/>
            <c:bubble3D val="0"/>
            <c:spPr>
              <a:solidFill>
                <a:schemeClr val="accent5">
                  <a:lumMod val="50000"/>
                </a:schemeClr>
              </a:solidFill>
            </c:spPr>
            <c:extLst>
              <c:ext xmlns:c16="http://schemas.microsoft.com/office/drawing/2014/chart" uri="{C3380CC4-5D6E-409C-BE32-E72D297353CC}">
                <c16:uniqueId val="{00000009-C78E-413F-AEF6-1D3F805099ED}"/>
              </c:ext>
            </c:extLst>
          </c:dPt>
          <c:cat>
            <c:strRef>
              <c:f>'Graphical Results'!$P$6:$P$10</c:f>
              <c:strCache>
                <c:ptCount val="5"/>
                <c:pt idx="0">
                  <c:v>uncertified</c:v>
                </c:pt>
                <c:pt idx="1">
                  <c:v>certified</c:v>
                </c:pt>
                <c:pt idx="2">
                  <c:v>silver</c:v>
                </c:pt>
                <c:pt idx="3">
                  <c:v>gold</c:v>
                </c:pt>
                <c:pt idx="4">
                  <c:v>platinum</c:v>
                </c:pt>
              </c:strCache>
            </c:strRef>
          </c:cat>
          <c:val>
            <c:numRef>
              <c:f>'Graphical Results'!$O$6:$O$10</c:f>
              <c:numCache>
                <c:formatCode>General</c:formatCode>
                <c:ptCount val="5"/>
                <c:pt idx="0">
                  <c:v>31</c:v>
                </c:pt>
                <c:pt idx="1">
                  <c:v>12</c:v>
                </c:pt>
                <c:pt idx="2">
                  <c:v>8</c:v>
                </c:pt>
                <c:pt idx="3">
                  <c:v>8</c:v>
                </c:pt>
                <c:pt idx="4">
                  <c:v>40</c:v>
                </c:pt>
              </c:numCache>
            </c:numRef>
          </c:val>
          <c:extLst>
            <c:ext xmlns:c16="http://schemas.microsoft.com/office/drawing/2014/chart" uri="{C3380CC4-5D6E-409C-BE32-E72D297353CC}">
              <c16:uniqueId val="{0000000A-C78E-413F-AEF6-1D3F805099ED}"/>
            </c:ext>
          </c:extLst>
        </c:ser>
        <c:dLbls>
          <c:showLegendKey val="0"/>
          <c:showVal val="0"/>
          <c:showCatName val="0"/>
          <c:showSerName val="0"/>
          <c:showPercent val="0"/>
          <c:showBubbleSize val="0"/>
          <c:showLeaderLines val="1"/>
        </c:dLbls>
        <c:firstSliceAng val="360"/>
        <c:holeSize val="85"/>
      </c:doughnutChart>
      <c:pieChart>
        <c:varyColors val="1"/>
        <c:ser>
          <c:idx val="0"/>
          <c:order val="2"/>
          <c:explosion val="2"/>
          <c:dPt>
            <c:idx val="0"/>
            <c:bubble3D val="0"/>
            <c:spPr>
              <a:noFill/>
            </c:spPr>
            <c:extLst>
              <c:ext xmlns:c16="http://schemas.microsoft.com/office/drawing/2014/chart" uri="{C3380CC4-5D6E-409C-BE32-E72D297353CC}">
                <c16:uniqueId val="{0000000C-C78E-413F-AEF6-1D3F805099ED}"/>
              </c:ext>
            </c:extLst>
          </c:dPt>
          <c:dPt>
            <c:idx val="2"/>
            <c:bubble3D val="0"/>
            <c:spPr>
              <a:noFill/>
            </c:spPr>
            <c:extLst>
              <c:ext xmlns:c16="http://schemas.microsoft.com/office/drawing/2014/chart" uri="{C3380CC4-5D6E-409C-BE32-E72D297353CC}">
                <c16:uniqueId val="{0000000E-C78E-413F-AEF6-1D3F805099ED}"/>
              </c:ext>
            </c:extLst>
          </c:dPt>
          <c:val>
            <c:numRef>
              <c:f>'Graphical Results'!$O$13:$O$15</c:f>
              <c:numCache>
                <c:formatCode>General</c:formatCode>
                <c:ptCount val="3"/>
                <c:pt idx="0">
                  <c:v>0</c:v>
                </c:pt>
                <c:pt idx="1">
                  <c:v>0.5</c:v>
                </c:pt>
                <c:pt idx="2">
                  <c:v>99.5</c:v>
                </c:pt>
              </c:numCache>
            </c:numRef>
          </c:val>
          <c:extLst>
            <c:ext xmlns:c16="http://schemas.microsoft.com/office/drawing/2014/chart" uri="{C3380CC4-5D6E-409C-BE32-E72D297353CC}">
              <c16:uniqueId val="{0000000F-C78E-413F-AEF6-1D3F805099ED}"/>
            </c:ext>
          </c:extLst>
        </c:ser>
        <c:dLbls>
          <c:showLegendKey val="0"/>
          <c:showVal val="0"/>
          <c:showCatName val="0"/>
          <c:showSerName val="0"/>
          <c:showPercent val="0"/>
          <c:showBubbleSize val="0"/>
          <c:showLeaderLines val="1"/>
        </c:dLbls>
        <c:firstSliceAng val="0"/>
      </c:pieChart>
      <c:doughnutChart>
        <c:varyColors val="1"/>
        <c:ser>
          <c:idx val="2"/>
          <c:order val="1"/>
          <c:spPr>
            <a:noFill/>
          </c:spPr>
          <c:dLbls>
            <c:dLbl>
              <c:idx val="0"/>
              <c:layout>
                <c:manualLayout>
                  <c:x val="-1.8433184182586253E-2"/>
                  <c:y val="0.340195783715248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8E-413F-AEF6-1D3F805099ED}"/>
                </c:ext>
              </c:extLst>
            </c:dLbl>
            <c:dLbl>
              <c:idx val="1"/>
              <c:layout>
                <c:manualLayout>
                  <c:x val="3.0721973637643884E-3"/>
                  <c:y val="-0.307121193631821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78E-413F-AEF6-1D3F805099ED}"/>
                </c:ext>
              </c:extLst>
            </c:dLbl>
            <c:numFmt formatCode="&quot;Points: &quot;\ 0" sourceLinked="0"/>
            <c:spPr>
              <a:noFill/>
              <a:ln>
                <a:noFill/>
              </a:ln>
              <a:effectLst/>
            </c:spPr>
            <c:txPr>
              <a:bodyPr/>
              <a:lstStyle/>
              <a:p>
                <a:pPr>
                  <a:defRPr sz="1200" b="1">
                    <a:solidFill>
                      <a:srgbClr val="76923C"/>
                    </a:solidFill>
                    <a:latin typeface="+mn-lt"/>
                  </a:defRPr>
                </a:pPr>
                <a:endParaRPr lang="en-US"/>
              </a:p>
            </c:txPr>
            <c:showLegendKey val="0"/>
            <c:showVal val="1"/>
            <c:showCatName val="0"/>
            <c:showSerName val="0"/>
            <c:showPercent val="0"/>
            <c:showBubbleSize val="0"/>
            <c:showLeaderLines val="1"/>
            <c:leaderLines>
              <c:spPr>
                <a:ln>
                  <a:noFill/>
                </a:ln>
              </c:spPr>
            </c:leaderLines>
            <c:extLst>
              <c:ext xmlns:c15="http://schemas.microsoft.com/office/drawing/2012/chart" uri="{CE6537A1-D6FC-4f65-9D91-7224C49458BB}"/>
            </c:extLst>
          </c:dLbls>
          <c:val>
            <c:numRef>
              <c:f>'Graphical Results'!$N$5:$N$6</c:f>
              <c:numCache>
                <c:formatCode>General</c:formatCode>
                <c:ptCount val="2"/>
                <c:pt idx="1">
                  <c:v>0</c:v>
                </c:pt>
              </c:numCache>
            </c:numRef>
          </c:val>
          <c:extLst>
            <c:ext xmlns:c16="http://schemas.microsoft.com/office/drawing/2014/chart" uri="{C3380CC4-5D6E-409C-BE32-E72D297353CC}">
              <c16:uniqueId val="{00000012-C78E-413F-AEF6-1D3F805099ED}"/>
            </c:ext>
          </c:extLst>
        </c:ser>
        <c:dLbls>
          <c:showLegendKey val="0"/>
          <c:showVal val="0"/>
          <c:showCatName val="0"/>
          <c:showSerName val="0"/>
          <c:showPercent val="0"/>
          <c:showBubbleSize val="0"/>
          <c:showLeaderLines val="1"/>
        </c:dLbls>
        <c:firstSliceAng val="0"/>
        <c:holeSize val="50"/>
      </c:doughnutChart>
    </c:plotArea>
    <c:plotVisOnly val="0"/>
    <c:dispBlanksAs val="gap"/>
    <c:showDLblsOverMax val="0"/>
  </c:chart>
  <c:spPr>
    <a:solidFill>
      <a:sysClr val="window" lastClr="FFFFFF">
        <a:lumMod val="95000"/>
      </a:sysClr>
    </a:solidFill>
    <a:ln>
      <a:noFill/>
    </a:ln>
  </c:spPr>
  <c:printSettings>
    <c:headerFooter/>
    <c:pageMargins b="0.75000000000000433" l="0.70000000000000062" r="0.70000000000000062" t="0.75000000000000433"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20660777526586"/>
          <c:y val="5.2826337564500607E-2"/>
          <c:w val="0.82122515811116448"/>
          <c:h val="0.69767241466513263"/>
        </c:manualLayout>
      </c:layout>
      <c:barChart>
        <c:barDir val="col"/>
        <c:grouping val="stacked"/>
        <c:varyColors val="0"/>
        <c:ser>
          <c:idx val="0"/>
          <c:order val="0"/>
          <c:invertIfNegative val="0"/>
          <c:dPt>
            <c:idx val="0"/>
            <c:invertIfNegative val="0"/>
            <c:bubble3D val="0"/>
            <c:spPr>
              <a:solidFill>
                <a:srgbClr val="58AB27"/>
              </a:solidFill>
            </c:spPr>
            <c:extLst>
              <c:ext xmlns:c16="http://schemas.microsoft.com/office/drawing/2014/chart" uri="{C3380CC4-5D6E-409C-BE32-E72D297353CC}">
                <c16:uniqueId val="{00000001-8C88-4DC2-8CC0-596339D2318B}"/>
              </c:ext>
            </c:extLst>
          </c:dPt>
          <c:dPt>
            <c:idx val="1"/>
            <c:invertIfNegative val="0"/>
            <c:bubble3D val="0"/>
            <c:spPr>
              <a:solidFill>
                <a:srgbClr val="0563C1"/>
              </a:solidFill>
            </c:spPr>
            <c:extLst>
              <c:ext xmlns:c16="http://schemas.microsoft.com/office/drawing/2014/chart" uri="{C3380CC4-5D6E-409C-BE32-E72D297353CC}">
                <c16:uniqueId val="{00000003-8C88-4DC2-8CC0-596339D2318B}"/>
              </c:ext>
            </c:extLst>
          </c:dPt>
          <c:dPt>
            <c:idx val="2"/>
            <c:invertIfNegative val="0"/>
            <c:bubble3D val="0"/>
            <c:spPr>
              <a:solidFill>
                <a:srgbClr val="5F4970"/>
              </a:solidFill>
            </c:spPr>
            <c:extLst>
              <c:ext xmlns:c16="http://schemas.microsoft.com/office/drawing/2014/chart" uri="{C3380CC4-5D6E-409C-BE32-E72D297353CC}">
                <c16:uniqueId val="{00000005-8C88-4DC2-8CC0-596339D2318B}"/>
              </c:ext>
            </c:extLst>
          </c:dPt>
          <c:dPt>
            <c:idx val="3"/>
            <c:invertIfNegative val="0"/>
            <c:bubble3D val="0"/>
            <c:spPr>
              <a:solidFill>
                <a:srgbClr val="943634"/>
              </a:solidFill>
            </c:spPr>
            <c:extLst>
              <c:ext xmlns:c16="http://schemas.microsoft.com/office/drawing/2014/chart" uri="{C3380CC4-5D6E-409C-BE32-E72D297353CC}">
                <c16:uniqueId val="{00000007-8C88-4DC2-8CC0-596339D2318B}"/>
              </c:ext>
            </c:extLst>
          </c:dPt>
          <c:dPt>
            <c:idx val="4"/>
            <c:invertIfNegative val="0"/>
            <c:bubble3D val="0"/>
            <c:spPr>
              <a:solidFill>
                <a:srgbClr val="76923C"/>
              </a:solidFill>
            </c:spPr>
            <c:extLst>
              <c:ext xmlns:c16="http://schemas.microsoft.com/office/drawing/2014/chart" uri="{C3380CC4-5D6E-409C-BE32-E72D297353CC}">
                <c16:uniqueId val="{00000009-8C88-4DC2-8CC0-596339D2318B}"/>
              </c:ext>
            </c:extLst>
          </c:dPt>
          <c:dPt>
            <c:idx val="5"/>
            <c:invertIfNegative val="0"/>
            <c:bubble3D val="0"/>
            <c:spPr>
              <a:solidFill>
                <a:srgbClr val="984806"/>
              </a:solidFill>
            </c:spPr>
            <c:extLst>
              <c:ext xmlns:c16="http://schemas.microsoft.com/office/drawing/2014/chart" uri="{C3380CC4-5D6E-409C-BE32-E72D297353CC}">
                <c16:uniqueId val="{0000000B-8C88-4DC2-8CC0-596339D2318B}"/>
              </c:ext>
            </c:extLst>
          </c:dPt>
          <c:dPt>
            <c:idx val="6"/>
            <c:invertIfNegative val="0"/>
            <c:bubble3D val="0"/>
            <c:spPr>
              <a:solidFill>
                <a:srgbClr val="FFC000"/>
              </a:solidFill>
            </c:spPr>
            <c:extLst>
              <c:ext xmlns:c16="http://schemas.microsoft.com/office/drawing/2014/chart" uri="{C3380CC4-5D6E-409C-BE32-E72D297353CC}">
                <c16:uniqueId val="{0000000D-8C88-4DC2-8CC0-596339D2318B}"/>
              </c:ext>
            </c:extLst>
          </c:dPt>
          <c:dLbls>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 Results'!$R$6:$R$12</c:f>
              <c:strCache>
                <c:ptCount val="7"/>
                <c:pt idx="0">
                  <c:v>Energy</c:v>
                </c:pt>
                <c:pt idx="1">
                  <c:v>Water</c:v>
                </c:pt>
                <c:pt idx="2">
                  <c:v>Materials</c:v>
                </c:pt>
                <c:pt idx="3">
                  <c:v>H&amp;C</c:v>
                </c:pt>
                <c:pt idx="4">
                  <c:v>LE</c:v>
                </c:pt>
                <c:pt idx="5">
                  <c:v>C&amp;M</c:v>
                </c:pt>
                <c:pt idx="6">
                  <c:v>Innovation</c:v>
                </c:pt>
              </c:strCache>
            </c:strRef>
          </c:cat>
          <c:val>
            <c:numRef>
              <c:f>'Graphical Results'!$T$6:$T$12</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8C88-4DC2-8CC0-596339D2318B}"/>
            </c:ext>
          </c:extLst>
        </c:ser>
        <c:ser>
          <c:idx val="1"/>
          <c:order val="1"/>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dPt>
            <c:idx val="0"/>
            <c:invertIfNegative val="0"/>
            <c:bubble3D val="0"/>
            <c:spPr>
              <a:solidFill>
                <a:srgbClr val="58B527">
                  <a:alpha val="50000"/>
                </a:srgbClr>
              </a:solidFill>
            </c:spPr>
            <c:extLst>
              <c:ext xmlns:c16="http://schemas.microsoft.com/office/drawing/2014/chart" uri="{C3380CC4-5D6E-409C-BE32-E72D297353CC}">
                <c16:uniqueId val="{00000010-8C88-4DC2-8CC0-596339D2318B}"/>
              </c:ext>
            </c:extLst>
          </c:dPt>
          <c:dPt>
            <c:idx val="1"/>
            <c:invertIfNegative val="0"/>
            <c:bubble3D val="0"/>
            <c:spPr>
              <a:solidFill>
                <a:srgbClr val="0563C1">
                  <a:alpha val="50000"/>
                </a:srgbClr>
              </a:solidFill>
            </c:spPr>
            <c:extLst>
              <c:ext xmlns:c16="http://schemas.microsoft.com/office/drawing/2014/chart" uri="{C3380CC4-5D6E-409C-BE32-E72D297353CC}">
                <c16:uniqueId val="{00000012-8C88-4DC2-8CC0-596339D2318B}"/>
              </c:ext>
            </c:extLst>
          </c:dPt>
          <c:dPt>
            <c:idx val="2"/>
            <c:invertIfNegative val="0"/>
            <c:bubble3D val="0"/>
            <c:spPr>
              <a:solidFill>
                <a:srgbClr val="5F4970">
                  <a:alpha val="50000"/>
                </a:srgbClr>
              </a:solidFill>
            </c:spPr>
            <c:extLst>
              <c:ext xmlns:c16="http://schemas.microsoft.com/office/drawing/2014/chart" uri="{C3380CC4-5D6E-409C-BE32-E72D297353CC}">
                <c16:uniqueId val="{00000014-8C88-4DC2-8CC0-596339D2318B}"/>
              </c:ext>
            </c:extLst>
          </c:dPt>
          <c:dPt>
            <c:idx val="3"/>
            <c:invertIfNegative val="0"/>
            <c:bubble3D val="0"/>
            <c:spPr>
              <a:solidFill>
                <a:srgbClr val="943634">
                  <a:alpha val="50000"/>
                </a:srgbClr>
              </a:solidFill>
            </c:spPr>
            <c:extLst>
              <c:ext xmlns:c16="http://schemas.microsoft.com/office/drawing/2014/chart" uri="{C3380CC4-5D6E-409C-BE32-E72D297353CC}">
                <c16:uniqueId val="{00000016-8C88-4DC2-8CC0-596339D2318B}"/>
              </c:ext>
            </c:extLst>
          </c:dPt>
          <c:dPt>
            <c:idx val="4"/>
            <c:invertIfNegative val="0"/>
            <c:bubble3D val="0"/>
            <c:spPr>
              <a:solidFill>
                <a:srgbClr val="76923C">
                  <a:alpha val="50000"/>
                </a:srgbClr>
              </a:solidFill>
            </c:spPr>
            <c:extLst>
              <c:ext xmlns:c16="http://schemas.microsoft.com/office/drawing/2014/chart" uri="{C3380CC4-5D6E-409C-BE32-E72D297353CC}">
                <c16:uniqueId val="{00000018-8C88-4DC2-8CC0-596339D2318B}"/>
              </c:ext>
            </c:extLst>
          </c:dPt>
          <c:dPt>
            <c:idx val="5"/>
            <c:invertIfNegative val="0"/>
            <c:bubble3D val="0"/>
            <c:spPr>
              <a:solidFill>
                <a:srgbClr val="984806">
                  <a:alpha val="50000"/>
                </a:srgbClr>
              </a:solidFill>
            </c:spPr>
            <c:extLst>
              <c:ext xmlns:c16="http://schemas.microsoft.com/office/drawing/2014/chart" uri="{C3380CC4-5D6E-409C-BE32-E72D297353CC}">
                <c16:uniqueId val="{0000001A-8C88-4DC2-8CC0-596339D2318B}"/>
              </c:ext>
            </c:extLst>
          </c:dPt>
          <c:dPt>
            <c:idx val="6"/>
            <c:invertIfNegative val="0"/>
            <c:bubble3D val="0"/>
            <c:spPr>
              <a:solidFill>
                <a:srgbClr val="FFC000">
                  <a:alpha val="50000"/>
                </a:srgbClr>
              </a:solidFill>
            </c:spPr>
            <c:extLst>
              <c:ext xmlns:c16="http://schemas.microsoft.com/office/drawing/2014/chart" uri="{C3380CC4-5D6E-409C-BE32-E72D297353CC}">
                <c16:uniqueId val="{0000001C-8C88-4DC2-8CC0-596339D2318B}"/>
              </c:ext>
            </c:extLst>
          </c:dPt>
          <c:cat>
            <c:strRef>
              <c:f>'Graphical Results'!$R$6:$R$12</c:f>
              <c:strCache>
                <c:ptCount val="7"/>
                <c:pt idx="0">
                  <c:v>Energy</c:v>
                </c:pt>
                <c:pt idx="1">
                  <c:v>Water</c:v>
                </c:pt>
                <c:pt idx="2">
                  <c:v>Materials</c:v>
                </c:pt>
                <c:pt idx="3">
                  <c:v>H&amp;C</c:v>
                </c:pt>
                <c:pt idx="4">
                  <c:v>LE</c:v>
                </c:pt>
                <c:pt idx="5">
                  <c:v>C&amp;M</c:v>
                </c:pt>
                <c:pt idx="6">
                  <c:v>Innovation</c:v>
                </c:pt>
              </c:strCache>
            </c:strRef>
          </c:cat>
          <c:val>
            <c:numRef>
              <c:f>'Graphical Results'!$S$6:$S$12</c:f>
              <c:numCache>
                <c:formatCode>General</c:formatCode>
                <c:ptCount val="7"/>
                <c:pt idx="0">
                  <c:v>28</c:v>
                </c:pt>
                <c:pt idx="1">
                  <c:v>11</c:v>
                </c:pt>
                <c:pt idx="2">
                  <c:v>14</c:v>
                </c:pt>
                <c:pt idx="3">
                  <c:v>15</c:v>
                </c:pt>
                <c:pt idx="4">
                  <c:v>16</c:v>
                </c:pt>
                <c:pt idx="5">
                  <c:v>12</c:v>
                </c:pt>
                <c:pt idx="6">
                  <c:v>4</c:v>
                </c:pt>
              </c:numCache>
            </c:numRef>
          </c:val>
          <c:extLst>
            <c:ext xmlns:c16="http://schemas.microsoft.com/office/drawing/2014/chart" uri="{C3380CC4-5D6E-409C-BE32-E72D297353CC}">
              <c16:uniqueId val="{0000001D-8C88-4DC2-8CC0-596339D2318B}"/>
            </c:ext>
          </c:extLst>
        </c:ser>
        <c:dLbls>
          <c:showLegendKey val="0"/>
          <c:showVal val="0"/>
          <c:showCatName val="0"/>
          <c:showSerName val="0"/>
          <c:showPercent val="0"/>
          <c:showBubbleSize val="0"/>
        </c:dLbls>
        <c:gapWidth val="69"/>
        <c:overlap val="100"/>
        <c:axId val="1654952704"/>
        <c:axId val="1654943456"/>
      </c:barChart>
      <c:catAx>
        <c:axId val="1654952704"/>
        <c:scaling>
          <c:orientation val="minMax"/>
        </c:scaling>
        <c:delete val="0"/>
        <c:axPos val="b"/>
        <c:numFmt formatCode="General" sourceLinked="0"/>
        <c:majorTickMark val="out"/>
        <c:minorTickMark val="none"/>
        <c:tickLblPos val="nextTo"/>
        <c:spPr>
          <a:noFill/>
          <a:ln w="0">
            <a:noFill/>
          </a:ln>
        </c:spPr>
        <c:crossAx val="1654943456"/>
        <c:crosses val="autoZero"/>
        <c:auto val="1"/>
        <c:lblAlgn val="ctr"/>
        <c:lblOffset val="100"/>
        <c:noMultiLvlLbl val="0"/>
      </c:catAx>
      <c:valAx>
        <c:axId val="1654943456"/>
        <c:scaling>
          <c:orientation val="minMax"/>
          <c:max val="30"/>
        </c:scaling>
        <c:delete val="0"/>
        <c:axPos val="l"/>
        <c:title>
          <c:tx>
            <c:rich>
              <a:bodyPr rot="-5400000" vert="horz" anchor="ctr" anchorCtr="1"/>
              <a:lstStyle/>
              <a:p>
                <a:pPr>
                  <a:defRPr/>
                </a:pPr>
                <a:r>
                  <a:rPr lang="fr-FR" sz="1050" b="0"/>
                  <a:t>Points / Points available</a:t>
                </a:r>
              </a:p>
            </c:rich>
          </c:tx>
          <c:layout>
            <c:manualLayout>
              <c:xMode val="edge"/>
              <c:yMode val="edge"/>
              <c:x val="2.1406727828746235E-2"/>
              <c:y val="0.15582732228401519"/>
            </c:manualLayout>
          </c:layout>
          <c:overlay val="0"/>
        </c:title>
        <c:numFmt formatCode="General" sourceLinked="1"/>
        <c:majorTickMark val="out"/>
        <c:minorTickMark val="none"/>
        <c:tickLblPos val="nextTo"/>
        <c:spPr>
          <a:ln>
            <a:solidFill>
              <a:schemeClr val="bg1">
                <a:lumMod val="75000"/>
              </a:schemeClr>
            </a:solidFill>
          </a:ln>
        </c:spPr>
        <c:crossAx val="1654952704"/>
        <c:crosses val="autoZero"/>
        <c:crossBetween val="between"/>
      </c:valAx>
      <c:spPr>
        <a:solidFill>
          <a:schemeClr val="bg1">
            <a:lumMod val="95000"/>
          </a:schemeClr>
        </a:solidFill>
      </c:spPr>
    </c:plotArea>
    <c:plotVisOnly val="0"/>
    <c:dispBlanksAs val="gap"/>
    <c:showDLblsOverMax val="0"/>
  </c:chart>
  <c:spPr>
    <a:noFill/>
    <a:ln>
      <a:noFill/>
    </a:ln>
  </c:spPr>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90156318955719E-2"/>
          <c:y val="3.530764536785843E-2"/>
          <c:w val="0.7104503751190393"/>
          <c:h val="0.89950579706948464"/>
        </c:manualLayout>
      </c:layout>
      <c:doughnutChart>
        <c:varyColors val="0"/>
        <c:ser>
          <c:idx val="5"/>
          <c:order val="0"/>
          <c:tx>
            <c:v>C&amp;M</c:v>
          </c:tx>
          <c:dPt>
            <c:idx val="0"/>
            <c:bubble3D val="0"/>
            <c:spPr>
              <a:solidFill>
                <a:srgbClr val="984806"/>
              </a:solidFill>
            </c:spPr>
            <c:extLst>
              <c:ext xmlns:c16="http://schemas.microsoft.com/office/drawing/2014/chart" uri="{C3380CC4-5D6E-409C-BE32-E72D297353CC}">
                <c16:uniqueId val="{00000001-9499-42F7-92B4-F712AA65608B}"/>
              </c:ext>
            </c:extLst>
          </c:dPt>
          <c:dPt>
            <c:idx val="1"/>
            <c:bubble3D val="0"/>
            <c:spPr>
              <a:solidFill>
                <a:srgbClr val="984806">
                  <a:alpha val="40000"/>
                </a:srgbClr>
              </a:solidFill>
            </c:spPr>
            <c:extLst>
              <c:ext xmlns:c16="http://schemas.microsoft.com/office/drawing/2014/chart" uri="{C3380CC4-5D6E-409C-BE32-E72D297353CC}">
                <c16:uniqueId val="{00000003-9499-42F7-92B4-F712AA65608B}"/>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99-42F7-92B4-F712AA65608B}"/>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Results'!$T$11:$U$11</c:f>
              <c:numCache>
                <c:formatCode>General</c:formatCode>
                <c:ptCount val="2"/>
                <c:pt idx="0">
                  <c:v>0</c:v>
                </c:pt>
                <c:pt idx="1">
                  <c:v>12</c:v>
                </c:pt>
              </c:numCache>
            </c:numRef>
          </c:val>
          <c:extLst>
            <c:ext xmlns:c16="http://schemas.microsoft.com/office/drawing/2014/chart" uri="{C3380CC4-5D6E-409C-BE32-E72D297353CC}">
              <c16:uniqueId val="{00000004-9499-42F7-92B4-F712AA65608B}"/>
            </c:ext>
          </c:extLst>
        </c:ser>
        <c:ser>
          <c:idx val="6"/>
          <c:order val="1"/>
          <c:val>
            <c:numRef>
              <c:f>'Graphical Results'!$K$22:$L$22</c:f>
              <c:numCache>
                <c:formatCode>General</c:formatCode>
                <c:ptCount val="2"/>
              </c:numCache>
            </c:numRef>
          </c:val>
          <c:extLst>
            <c:ext xmlns:c16="http://schemas.microsoft.com/office/drawing/2014/chart" uri="{C3380CC4-5D6E-409C-BE32-E72D297353CC}">
              <c16:uniqueId val="{00000005-9499-42F7-92B4-F712AA65608B}"/>
            </c:ext>
          </c:extLst>
        </c:ser>
        <c:ser>
          <c:idx val="4"/>
          <c:order val="2"/>
          <c:tx>
            <c:v>LE</c:v>
          </c:tx>
          <c:spPr>
            <a:solidFill>
              <a:srgbClr val="76923C">
                <a:alpha val="50000"/>
              </a:srgbClr>
            </a:solidFill>
          </c:spPr>
          <c:dPt>
            <c:idx val="0"/>
            <c:bubble3D val="0"/>
            <c:spPr>
              <a:solidFill>
                <a:srgbClr val="76923C"/>
              </a:solidFill>
            </c:spPr>
            <c:extLst>
              <c:ext xmlns:c16="http://schemas.microsoft.com/office/drawing/2014/chart" uri="{C3380CC4-5D6E-409C-BE32-E72D297353CC}">
                <c16:uniqueId val="{00000007-9499-42F7-92B4-F712AA65608B}"/>
              </c:ext>
            </c:extLst>
          </c:dPt>
          <c:dPt>
            <c:idx val="1"/>
            <c:bubble3D val="0"/>
            <c:spPr>
              <a:solidFill>
                <a:srgbClr val="76923C">
                  <a:alpha val="40000"/>
                </a:srgbClr>
              </a:solidFill>
            </c:spPr>
            <c:extLst>
              <c:ext xmlns:c16="http://schemas.microsoft.com/office/drawing/2014/chart" uri="{C3380CC4-5D6E-409C-BE32-E72D297353CC}">
                <c16:uniqueId val="{00000009-9499-42F7-92B4-F712AA65608B}"/>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99-42F7-92B4-F712AA65608B}"/>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Results'!$T$10:$U$10</c:f>
              <c:numCache>
                <c:formatCode>General</c:formatCode>
                <c:ptCount val="2"/>
                <c:pt idx="0">
                  <c:v>0</c:v>
                </c:pt>
                <c:pt idx="1">
                  <c:v>16</c:v>
                </c:pt>
              </c:numCache>
            </c:numRef>
          </c:val>
          <c:extLst>
            <c:ext xmlns:c16="http://schemas.microsoft.com/office/drawing/2014/chart" uri="{C3380CC4-5D6E-409C-BE32-E72D297353CC}">
              <c16:uniqueId val="{0000000A-9499-42F7-92B4-F712AA65608B}"/>
            </c:ext>
          </c:extLst>
        </c:ser>
        <c:ser>
          <c:idx val="7"/>
          <c:order val="3"/>
          <c:val>
            <c:numRef>
              <c:f>'Graphical Results'!$K$28:$L$28</c:f>
              <c:numCache>
                <c:formatCode>General</c:formatCode>
                <c:ptCount val="2"/>
              </c:numCache>
            </c:numRef>
          </c:val>
          <c:extLst>
            <c:ext xmlns:c16="http://schemas.microsoft.com/office/drawing/2014/chart" uri="{C3380CC4-5D6E-409C-BE32-E72D297353CC}">
              <c16:uniqueId val="{0000000B-9499-42F7-92B4-F712AA65608B}"/>
            </c:ext>
          </c:extLst>
        </c:ser>
        <c:ser>
          <c:idx val="3"/>
          <c:order val="4"/>
          <c:tx>
            <c:v>H&amp;C</c:v>
          </c:tx>
          <c:dPt>
            <c:idx val="0"/>
            <c:bubble3D val="0"/>
            <c:spPr>
              <a:solidFill>
                <a:srgbClr val="943634"/>
              </a:solidFill>
            </c:spPr>
            <c:extLst>
              <c:ext xmlns:c16="http://schemas.microsoft.com/office/drawing/2014/chart" uri="{C3380CC4-5D6E-409C-BE32-E72D297353CC}">
                <c16:uniqueId val="{0000000D-9499-42F7-92B4-F712AA65608B}"/>
              </c:ext>
            </c:extLst>
          </c:dPt>
          <c:dPt>
            <c:idx val="1"/>
            <c:bubble3D val="0"/>
            <c:spPr>
              <a:solidFill>
                <a:srgbClr val="943634">
                  <a:alpha val="40000"/>
                </a:srgbClr>
              </a:solidFill>
            </c:spPr>
            <c:extLst>
              <c:ext xmlns:c16="http://schemas.microsoft.com/office/drawing/2014/chart" uri="{C3380CC4-5D6E-409C-BE32-E72D297353CC}">
                <c16:uniqueId val="{0000000F-9499-42F7-92B4-F712AA65608B}"/>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499-42F7-92B4-F712AA65608B}"/>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Results'!$T$9:$U$9</c:f>
              <c:numCache>
                <c:formatCode>General</c:formatCode>
                <c:ptCount val="2"/>
                <c:pt idx="0">
                  <c:v>0</c:v>
                </c:pt>
                <c:pt idx="1">
                  <c:v>15</c:v>
                </c:pt>
              </c:numCache>
            </c:numRef>
          </c:val>
          <c:extLst>
            <c:ext xmlns:c16="http://schemas.microsoft.com/office/drawing/2014/chart" uri="{C3380CC4-5D6E-409C-BE32-E72D297353CC}">
              <c16:uniqueId val="{00000010-9499-42F7-92B4-F712AA65608B}"/>
            </c:ext>
          </c:extLst>
        </c:ser>
        <c:ser>
          <c:idx val="8"/>
          <c:order val="5"/>
          <c:val>
            <c:numRef>
              <c:f>'Graphical Results'!$K$29:$L$29</c:f>
              <c:numCache>
                <c:formatCode>General</c:formatCode>
                <c:ptCount val="2"/>
              </c:numCache>
            </c:numRef>
          </c:val>
          <c:extLst>
            <c:ext xmlns:c16="http://schemas.microsoft.com/office/drawing/2014/chart" uri="{C3380CC4-5D6E-409C-BE32-E72D297353CC}">
              <c16:uniqueId val="{00000011-9499-42F7-92B4-F712AA65608B}"/>
            </c:ext>
          </c:extLst>
        </c:ser>
        <c:ser>
          <c:idx val="2"/>
          <c:order val="6"/>
          <c:tx>
            <c:v>Materials</c:v>
          </c:tx>
          <c:dPt>
            <c:idx val="0"/>
            <c:bubble3D val="0"/>
            <c:spPr>
              <a:solidFill>
                <a:srgbClr val="5F4970"/>
              </a:solidFill>
            </c:spPr>
            <c:extLst>
              <c:ext xmlns:c16="http://schemas.microsoft.com/office/drawing/2014/chart" uri="{C3380CC4-5D6E-409C-BE32-E72D297353CC}">
                <c16:uniqueId val="{00000013-9499-42F7-92B4-F712AA65608B}"/>
              </c:ext>
            </c:extLst>
          </c:dPt>
          <c:dPt>
            <c:idx val="1"/>
            <c:bubble3D val="0"/>
            <c:spPr>
              <a:solidFill>
                <a:srgbClr val="5F4970">
                  <a:alpha val="40000"/>
                </a:srgbClr>
              </a:solidFill>
            </c:spPr>
            <c:extLst>
              <c:ext xmlns:c16="http://schemas.microsoft.com/office/drawing/2014/chart" uri="{C3380CC4-5D6E-409C-BE32-E72D297353CC}">
                <c16:uniqueId val="{00000015-9499-42F7-92B4-F712AA65608B}"/>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499-42F7-92B4-F712AA65608B}"/>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Results'!$T$8:$U$8</c:f>
              <c:numCache>
                <c:formatCode>General</c:formatCode>
                <c:ptCount val="2"/>
                <c:pt idx="0">
                  <c:v>0</c:v>
                </c:pt>
                <c:pt idx="1">
                  <c:v>14</c:v>
                </c:pt>
              </c:numCache>
            </c:numRef>
          </c:val>
          <c:extLst>
            <c:ext xmlns:c16="http://schemas.microsoft.com/office/drawing/2014/chart" uri="{C3380CC4-5D6E-409C-BE32-E72D297353CC}">
              <c16:uniqueId val="{00000016-9499-42F7-92B4-F712AA65608B}"/>
            </c:ext>
          </c:extLst>
        </c:ser>
        <c:ser>
          <c:idx val="9"/>
          <c:order val="7"/>
          <c:val>
            <c:numRef>
              <c:f>'Graphical Results'!$K$31:$L$31</c:f>
              <c:numCache>
                <c:formatCode>General</c:formatCode>
                <c:ptCount val="2"/>
              </c:numCache>
            </c:numRef>
          </c:val>
          <c:extLst>
            <c:ext xmlns:c16="http://schemas.microsoft.com/office/drawing/2014/chart" uri="{C3380CC4-5D6E-409C-BE32-E72D297353CC}">
              <c16:uniqueId val="{00000017-9499-42F7-92B4-F712AA65608B}"/>
            </c:ext>
          </c:extLst>
        </c:ser>
        <c:ser>
          <c:idx val="1"/>
          <c:order val="8"/>
          <c:tx>
            <c:v>Water</c:v>
          </c:tx>
          <c:dPt>
            <c:idx val="0"/>
            <c:bubble3D val="0"/>
            <c:spPr>
              <a:solidFill>
                <a:srgbClr val="0070C0"/>
              </a:solidFill>
            </c:spPr>
            <c:extLst>
              <c:ext xmlns:c16="http://schemas.microsoft.com/office/drawing/2014/chart" uri="{C3380CC4-5D6E-409C-BE32-E72D297353CC}">
                <c16:uniqueId val="{00000019-9499-42F7-92B4-F712AA65608B}"/>
              </c:ext>
            </c:extLst>
          </c:dPt>
          <c:dPt>
            <c:idx val="1"/>
            <c:bubble3D val="0"/>
            <c:spPr>
              <a:solidFill>
                <a:srgbClr val="0070C0">
                  <a:alpha val="40000"/>
                </a:srgbClr>
              </a:solidFill>
            </c:spPr>
            <c:extLst>
              <c:ext xmlns:c16="http://schemas.microsoft.com/office/drawing/2014/chart" uri="{C3380CC4-5D6E-409C-BE32-E72D297353CC}">
                <c16:uniqueId val="{0000001B-9499-42F7-92B4-F712AA65608B}"/>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499-42F7-92B4-F712AA65608B}"/>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Results'!$T$7:$U$7</c:f>
              <c:numCache>
                <c:formatCode>General</c:formatCode>
                <c:ptCount val="2"/>
                <c:pt idx="0">
                  <c:v>0</c:v>
                </c:pt>
                <c:pt idx="1">
                  <c:v>11</c:v>
                </c:pt>
              </c:numCache>
            </c:numRef>
          </c:val>
          <c:extLst>
            <c:ext xmlns:c16="http://schemas.microsoft.com/office/drawing/2014/chart" uri="{C3380CC4-5D6E-409C-BE32-E72D297353CC}">
              <c16:uniqueId val="{0000001C-9499-42F7-92B4-F712AA65608B}"/>
            </c:ext>
          </c:extLst>
        </c:ser>
        <c:ser>
          <c:idx val="10"/>
          <c:order val="9"/>
          <c:val>
            <c:numRef>
              <c:f>'Graphical Results'!$K$34:$L$34</c:f>
              <c:numCache>
                <c:formatCode>General</c:formatCode>
                <c:ptCount val="2"/>
              </c:numCache>
            </c:numRef>
          </c:val>
          <c:extLst>
            <c:ext xmlns:c16="http://schemas.microsoft.com/office/drawing/2014/chart" uri="{C3380CC4-5D6E-409C-BE32-E72D297353CC}">
              <c16:uniqueId val="{0000001D-9499-42F7-92B4-F712AA65608B}"/>
            </c:ext>
          </c:extLst>
        </c:ser>
        <c:ser>
          <c:idx val="0"/>
          <c:order val="10"/>
          <c:tx>
            <c:v>Energy</c:v>
          </c:tx>
          <c:dPt>
            <c:idx val="0"/>
            <c:bubble3D val="0"/>
            <c:spPr>
              <a:solidFill>
                <a:srgbClr val="58B527"/>
              </a:solidFill>
            </c:spPr>
            <c:extLst>
              <c:ext xmlns:c16="http://schemas.microsoft.com/office/drawing/2014/chart" uri="{C3380CC4-5D6E-409C-BE32-E72D297353CC}">
                <c16:uniqueId val="{0000001F-9499-42F7-92B4-F712AA65608B}"/>
              </c:ext>
            </c:extLst>
          </c:dPt>
          <c:dPt>
            <c:idx val="1"/>
            <c:bubble3D val="0"/>
            <c:spPr>
              <a:solidFill>
                <a:srgbClr val="58B527">
                  <a:alpha val="40000"/>
                </a:srgbClr>
              </a:solidFill>
            </c:spPr>
            <c:extLst>
              <c:ext xmlns:c16="http://schemas.microsoft.com/office/drawing/2014/chart" uri="{C3380CC4-5D6E-409C-BE32-E72D297353CC}">
                <c16:uniqueId val="{00000021-9499-42F7-92B4-F712AA65608B}"/>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499-42F7-92B4-F712AA65608B}"/>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Results'!$T$6:$U$6</c:f>
              <c:numCache>
                <c:formatCode>General</c:formatCode>
                <c:ptCount val="2"/>
                <c:pt idx="0">
                  <c:v>0</c:v>
                </c:pt>
                <c:pt idx="1">
                  <c:v>28</c:v>
                </c:pt>
              </c:numCache>
            </c:numRef>
          </c:val>
          <c:extLst>
            <c:ext xmlns:c16="http://schemas.microsoft.com/office/drawing/2014/chart" uri="{C3380CC4-5D6E-409C-BE32-E72D297353CC}">
              <c16:uniqueId val="{00000022-9499-42F7-92B4-F712AA65608B}"/>
            </c:ext>
          </c:extLst>
        </c:ser>
        <c:dLbls>
          <c:showLegendKey val="0"/>
          <c:showVal val="0"/>
          <c:showCatName val="0"/>
          <c:showSerName val="0"/>
          <c:showPercent val="0"/>
          <c:showBubbleSize val="0"/>
          <c:showLeaderLines val="1"/>
        </c:dLbls>
        <c:firstSliceAng val="0"/>
        <c:holeSize val="15"/>
      </c:doughnutChart>
    </c:plotArea>
    <c:legend>
      <c:legendPos val="r"/>
      <c:legendEntry>
        <c:idx val="1"/>
        <c:delete val="1"/>
      </c:legendEntry>
      <c:legendEntry>
        <c:idx val="3"/>
        <c:delete val="1"/>
      </c:legendEntry>
      <c:legendEntry>
        <c:idx val="5"/>
        <c:delete val="1"/>
      </c:legendEntry>
      <c:legendEntry>
        <c:idx val="7"/>
        <c:delete val="1"/>
      </c:legendEntry>
      <c:legendEntry>
        <c:idx val="9"/>
        <c:delete val="1"/>
      </c:legendEntry>
      <c:overlay val="0"/>
    </c:legend>
    <c:plotVisOnly val="0"/>
    <c:dispBlanksAs val="zero"/>
    <c:showDLblsOverMax val="0"/>
  </c:chart>
  <c:spPr>
    <a:solidFill>
      <a:sysClr val="window" lastClr="FFFFFF">
        <a:lumMod val="95000"/>
      </a:sysClr>
    </a:solidFill>
    <a:ln>
      <a:noFill/>
    </a:ln>
  </c:sp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filled"/>
        <c:varyColors val="0"/>
        <c:ser>
          <c:idx val="0"/>
          <c:order val="0"/>
          <c:spPr>
            <a:solidFill>
              <a:srgbClr val="76923C">
                <a:alpha val="50196"/>
              </a:srgbClr>
            </a:solidFill>
            <a:ln>
              <a:solidFill>
                <a:srgbClr val="76923C"/>
              </a:solidFill>
            </a:ln>
          </c:spPr>
          <c:cat>
            <c:strRef>
              <c:f>'Graphical Results'!$R$6:$R$11</c:f>
              <c:strCache>
                <c:ptCount val="6"/>
                <c:pt idx="0">
                  <c:v>Energy</c:v>
                </c:pt>
                <c:pt idx="1">
                  <c:v>Water</c:v>
                </c:pt>
                <c:pt idx="2">
                  <c:v>Materials</c:v>
                </c:pt>
                <c:pt idx="3">
                  <c:v>H&amp;C</c:v>
                </c:pt>
                <c:pt idx="4">
                  <c:v>LE</c:v>
                </c:pt>
                <c:pt idx="5">
                  <c:v>C&amp;M</c:v>
                </c:pt>
              </c:strCache>
            </c:strRef>
          </c:cat>
          <c:val>
            <c:numRef>
              <c:f>'Graphical Results'!$S$14:$S$19</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522-400B-9EC7-67E66021A589}"/>
            </c:ext>
          </c:extLst>
        </c:ser>
        <c:dLbls>
          <c:showLegendKey val="0"/>
          <c:showVal val="0"/>
          <c:showCatName val="0"/>
          <c:showSerName val="0"/>
          <c:showPercent val="0"/>
          <c:showBubbleSize val="0"/>
        </c:dLbls>
        <c:axId val="1654953792"/>
        <c:axId val="1654940192"/>
      </c:radarChart>
      <c:catAx>
        <c:axId val="1654953792"/>
        <c:scaling>
          <c:orientation val="minMax"/>
        </c:scaling>
        <c:delete val="0"/>
        <c:axPos val="b"/>
        <c:majorGridlines/>
        <c:numFmt formatCode="General" sourceLinked="0"/>
        <c:majorTickMark val="out"/>
        <c:minorTickMark val="none"/>
        <c:tickLblPos val="nextTo"/>
        <c:crossAx val="1654940192"/>
        <c:crosses val="autoZero"/>
        <c:auto val="1"/>
        <c:lblAlgn val="ctr"/>
        <c:lblOffset val="100"/>
        <c:noMultiLvlLbl val="0"/>
      </c:catAx>
      <c:valAx>
        <c:axId val="1654940192"/>
        <c:scaling>
          <c:orientation val="minMax"/>
          <c:max val="1"/>
        </c:scaling>
        <c:delete val="0"/>
        <c:axPos val="l"/>
        <c:majorGridlines/>
        <c:numFmt formatCode="0%" sourceLinked="0"/>
        <c:majorTickMark val="cross"/>
        <c:minorTickMark val="none"/>
        <c:tickLblPos val="nextTo"/>
        <c:txPr>
          <a:bodyPr/>
          <a:lstStyle/>
          <a:p>
            <a:pPr>
              <a:defRPr sz="800"/>
            </a:pPr>
            <a:endParaRPr lang="en-US"/>
          </a:p>
        </c:txPr>
        <c:crossAx val="1654953792"/>
        <c:crosses val="autoZero"/>
        <c:crossBetween val="between"/>
        <c:majorUnit val="0.2"/>
      </c:valAx>
      <c:spPr>
        <a:solidFill>
          <a:sysClr val="window" lastClr="FFFFFF">
            <a:lumMod val="95000"/>
          </a:sysClr>
        </a:solidFill>
        <a:ln>
          <a:noFill/>
        </a:ln>
      </c:spPr>
    </c:plotArea>
    <c:plotVisOnly val="0"/>
    <c:dispBlanksAs val="gap"/>
    <c:showDLblsOverMax val="0"/>
  </c:chart>
  <c:spPr>
    <a:solidFill>
      <a:sysClr val="window" lastClr="FFFFFF">
        <a:lumMod val="95000"/>
      </a:sysClr>
    </a:solidFill>
    <a:ln>
      <a:noFill/>
    </a:ln>
  </c:spPr>
  <c:printSettings>
    <c:headerFooter/>
    <c:pageMargins b="0.75000000000000233" l="0.70000000000000062" r="0.70000000000000062" t="0.75000000000000233" header="0.30000000000000032" footer="0.30000000000000032"/>
    <c:pageSetup/>
  </c:printSettings>
</c:chartSpace>
</file>

<file path=xl/ctrlProps/ctrlProp1.xml><?xml version="1.0" encoding="utf-8"?>
<formControlPr xmlns="http://schemas.microsoft.com/office/spreadsheetml/2009/9/main" objectType="CheckBox" fmlaLink="P37" lockText="1" noThreeD="1"/>
</file>

<file path=xl/ctrlProps/ctrlProp10.xml><?xml version="1.0" encoding="utf-8"?>
<formControlPr xmlns="http://schemas.microsoft.com/office/spreadsheetml/2009/9/main" objectType="CheckBox" fmlaLink="Q22" lockText="1" noThreeD="1"/>
</file>

<file path=xl/ctrlProps/ctrlProp2.xml><?xml version="1.0" encoding="utf-8"?>
<formControlPr xmlns="http://schemas.microsoft.com/office/spreadsheetml/2009/9/main" objectType="CheckBox" fmlaLink="P38" lockText="1" noThreeD="1"/>
</file>

<file path=xl/ctrlProps/ctrlProp3.xml><?xml version="1.0" encoding="utf-8"?>
<formControlPr xmlns="http://schemas.microsoft.com/office/spreadsheetml/2009/9/main" objectType="CheckBox" fmlaLink="Q37" lockText="1" noThreeD="1"/>
</file>

<file path=xl/ctrlProps/ctrlProp4.xml><?xml version="1.0" encoding="utf-8"?>
<formControlPr xmlns="http://schemas.microsoft.com/office/spreadsheetml/2009/9/main" objectType="CheckBox" fmlaLink="Q38" lockText="1" noThreeD="1"/>
</file>

<file path=xl/ctrlProps/ctrlProp5.xml><?xml version="1.0" encoding="utf-8"?>
<formControlPr xmlns="http://schemas.microsoft.com/office/spreadsheetml/2009/9/main" objectType="CheckBox" fmlaLink="P29" lockText="1" noThreeD="1"/>
</file>

<file path=xl/ctrlProps/ctrlProp6.xml><?xml version="1.0" encoding="utf-8"?>
<formControlPr xmlns="http://schemas.microsoft.com/office/spreadsheetml/2009/9/main" objectType="CheckBox" fmlaLink="Q29" lockText="1" noThreeD="1"/>
</file>

<file path=xl/ctrlProps/ctrlProp7.xml><?xml version="1.0" encoding="utf-8"?>
<formControlPr xmlns="http://schemas.microsoft.com/office/spreadsheetml/2009/9/main" objectType="CheckBox" fmlaLink="P19" lockText="1" noThreeD="1"/>
</file>

<file path=xl/ctrlProps/ctrlProp8.xml><?xml version="1.0" encoding="utf-8"?>
<formControlPr xmlns="http://schemas.microsoft.com/office/spreadsheetml/2009/9/main" objectType="CheckBox" fmlaLink="Q19" lockText="1" noThreeD="1"/>
</file>

<file path=xl/ctrlProps/ctrlProp9.xml><?xml version="1.0" encoding="utf-8"?>
<formControlPr xmlns="http://schemas.microsoft.com/office/spreadsheetml/2009/9/main" objectType="CheckBox" fmlaLink="P22" lockText="1" noThreeD="1"/>
</file>

<file path=xl/diagrams/_rels/data1.xml.rels><?xml version="1.0" encoding="UTF-8" standalone="yes"?>
<Relationships xmlns="http://schemas.openxmlformats.org/package/2006/relationships"><Relationship Id="rId3" Type="http://schemas.openxmlformats.org/officeDocument/2006/relationships/hyperlink" Target="#Glossary!A1"/><Relationship Id="rId2" Type="http://schemas.openxmlformats.org/officeDocument/2006/relationships/hyperlink" Target="#'LOTUS Homes Scorecard'!A1"/><Relationship Id="rId1" Type="http://schemas.openxmlformats.org/officeDocument/2006/relationships/hyperlink" Target="#'Project information'!A1"/><Relationship Id="rId4" Type="http://schemas.openxmlformats.org/officeDocument/2006/relationships/hyperlink" Target="#'Application Form'!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6FB4A36-E9C9-411A-98C6-F052B50A6EE5}"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n-US"/>
        </a:p>
      </dgm:t>
    </dgm:pt>
    <dgm:pt modelId="{18D65B10-0541-469E-A566-FFFF293F0913}">
      <dgm:prSet phldrT="[Text]" custT="1"/>
      <dgm:spPr>
        <a:solidFill>
          <a:srgbClr val="76923C"/>
        </a:solidFill>
      </dgm:spPr>
      <dgm:t>
        <a:bodyPr/>
        <a:lstStyle/>
        <a:p>
          <a:r>
            <a:rPr lang="en-US" sz="1800"/>
            <a:t>Step 2: Project information</a:t>
          </a:r>
        </a:p>
      </dgm:t>
      <dgm:extLst>
        <a:ext uri="{E40237B7-FDA0-4F09-8148-C483321AD2D9}">
          <dgm14:cNvPr xmlns:dgm14="http://schemas.microsoft.com/office/drawing/2010/diagram" id="0" name="">
            <a:hlinkClick xmlns:r="http://schemas.openxmlformats.org/officeDocument/2006/relationships" r:id="rId1" tooltip="Project information"/>
          </dgm14:cNvPr>
        </a:ext>
      </dgm:extLst>
    </dgm:pt>
    <dgm:pt modelId="{73B31C1B-51AB-4698-ABB3-D29E62535BE1}" type="parTrans" cxnId="{57BEA81D-18E9-492C-8AA9-C253BEE739D4}">
      <dgm:prSet/>
      <dgm:spPr/>
      <dgm:t>
        <a:bodyPr/>
        <a:lstStyle/>
        <a:p>
          <a:endParaRPr lang="en-US"/>
        </a:p>
      </dgm:t>
    </dgm:pt>
    <dgm:pt modelId="{4159D29E-92E2-4E8F-A6BB-1A69F64C6C25}" type="sibTrans" cxnId="{57BEA81D-18E9-492C-8AA9-C253BEE739D4}">
      <dgm:prSet/>
      <dgm:spPr/>
      <dgm:t>
        <a:bodyPr/>
        <a:lstStyle/>
        <a:p>
          <a:endParaRPr lang="en-US"/>
        </a:p>
      </dgm:t>
    </dgm:pt>
    <dgm:pt modelId="{074F5F59-0629-4C17-A002-32A8FEBF23B6}">
      <dgm:prSet phldrT="[Text]" custT="1"/>
      <dgm:spPr>
        <a:solidFill>
          <a:srgbClr val="76923C"/>
        </a:solidFill>
      </dgm:spPr>
      <dgm:t>
        <a:bodyPr/>
        <a:lstStyle/>
        <a:p>
          <a:r>
            <a:rPr lang="en-US" sz="1800"/>
            <a:t>Step 3: LOTUS</a:t>
          </a:r>
          <a:r>
            <a:rPr lang="en-US" sz="1800" baseline="-25000"/>
            <a:t> </a:t>
          </a:r>
          <a:r>
            <a:rPr lang="en-US" sz="1800"/>
            <a:t>Small Buildings Scorecard</a:t>
          </a:r>
        </a:p>
      </dgm:t>
      <dgm:extLst>
        <a:ext uri="{E40237B7-FDA0-4F09-8148-C483321AD2D9}">
          <dgm14:cNvPr xmlns:dgm14="http://schemas.microsoft.com/office/drawing/2010/diagram" id="0" name="">
            <a:hlinkClick xmlns:r="http://schemas.openxmlformats.org/officeDocument/2006/relationships" r:id="rId2" tooltip="LOTUS Homes Scorecard"/>
          </dgm14:cNvPr>
        </a:ext>
      </dgm:extLst>
    </dgm:pt>
    <dgm:pt modelId="{EA729D0D-64F1-4A64-B6AC-685323C95660}" type="parTrans" cxnId="{17092A43-36D8-4F4D-8C67-6F080E46F118}">
      <dgm:prSet/>
      <dgm:spPr/>
      <dgm:t>
        <a:bodyPr/>
        <a:lstStyle/>
        <a:p>
          <a:endParaRPr lang="en-US"/>
        </a:p>
      </dgm:t>
    </dgm:pt>
    <dgm:pt modelId="{8126839F-1087-4495-BB68-EB154FF604FB}" type="sibTrans" cxnId="{17092A43-36D8-4F4D-8C67-6F080E46F118}">
      <dgm:prSet/>
      <dgm:spPr/>
      <dgm:t>
        <a:bodyPr/>
        <a:lstStyle/>
        <a:p>
          <a:endParaRPr lang="en-US"/>
        </a:p>
      </dgm:t>
    </dgm:pt>
    <dgm:pt modelId="{4F74EB52-93B6-4E1E-9DEB-9283C317DF3D}">
      <dgm:prSet custT="1"/>
      <dgm:spPr>
        <a:solidFill>
          <a:schemeClr val="bg1">
            <a:lumMod val="85000"/>
            <a:alpha val="90000"/>
          </a:schemeClr>
        </a:solidFill>
        <a:ln>
          <a:solidFill>
            <a:schemeClr val="bg1"/>
          </a:solidFill>
        </a:ln>
      </dgm:spPr>
      <dgm:t>
        <a:bodyPr anchor="ctr"/>
        <a:lstStyle/>
        <a:p>
          <a:r>
            <a:rPr lang="en-US" sz="1200"/>
            <a:t>Complete the sheet with General Information on the project</a:t>
          </a:r>
        </a:p>
      </dgm:t>
    </dgm:pt>
    <dgm:pt modelId="{0E8A06C5-C6D2-4D79-AF07-9A48CD83D867}" type="parTrans" cxnId="{924F4586-9D8E-4FAA-A727-E63B41A43C79}">
      <dgm:prSet/>
      <dgm:spPr/>
      <dgm:t>
        <a:bodyPr/>
        <a:lstStyle/>
        <a:p>
          <a:endParaRPr lang="en-US"/>
        </a:p>
      </dgm:t>
    </dgm:pt>
    <dgm:pt modelId="{FB2BFFEF-2B78-46B5-9A1D-AAB04B8E4A6A}" type="sibTrans" cxnId="{924F4586-9D8E-4FAA-A727-E63B41A43C79}">
      <dgm:prSet/>
      <dgm:spPr/>
      <dgm:t>
        <a:bodyPr/>
        <a:lstStyle/>
        <a:p>
          <a:endParaRPr lang="en-US"/>
        </a:p>
      </dgm:t>
    </dgm:pt>
    <dgm:pt modelId="{0D399A1C-E58E-4463-B549-BD34B6B471F7}">
      <dgm:prSet custT="1"/>
      <dgm:spPr>
        <a:solidFill>
          <a:schemeClr val="bg1">
            <a:lumMod val="85000"/>
            <a:alpha val="90000"/>
          </a:schemeClr>
        </a:solidFill>
        <a:ln>
          <a:solidFill>
            <a:schemeClr val="bg1"/>
          </a:solidFill>
        </a:ln>
      </dgm:spPr>
      <dgm:t>
        <a:bodyPr anchor="ctr"/>
        <a:lstStyle/>
        <a:p>
          <a:r>
            <a:rPr lang="en-US" sz="1200"/>
            <a:t>The LOTUS</a:t>
          </a:r>
          <a:r>
            <a:rPr lang="en-US" sz="1200" baseline="-25000"/>
            <a:t> </a:t>
          </a:r>
          <a:r>
            <a:rPr lang="en-US" sz="1200"/>
            <a:t>Small Buildings Scorecard is the main sheet of the User Tool where results are gathered.</a:t>
          </a:r>
        </a:p>
      </dgm:t>
    </dgm:pt>
    <dgm:pt modelId="{082ECF45-A5BB-42FA-8593-5D92A458C8F4}" type="parTrans" cxnId="{846B9D77-5952-4A78-BFC5-86211684DB02}">
      <dgm:prSet/>
      <dgm:spPr/>
      <dgm:t>
        <a:bodyPr/>
        <a:lstStyle/>
        <a:p>
          <a:endParaRPr lang="en-US"/>
        </a:p>
      </dgm:t>
    </dgm:pt>
    <dgm:pt modelId="{5B05C06C-F215-4806-B1EC-8D75786AD2F9}" type="sibTrans" cxnId="{846B9D77-5952-4A78-BFC5-86211684DB02}">
      <dgm:prSet/>
      <dgm:spPr/>
      <dgm:t>
        <a:bodyPr/>
        <a:lstStyle/>
        <a:p>
          <a:endParaRPr lang="en-US"/>
        </a:p>
      </dgm:t>
    </dgm:pt>
    <dgm:pt modelId="{4B3F0A15-1DEB-4185-93B6-EE16AB1BF4B8}">
      <dgm:prSet custT="1"/>
      <dgm:spPr>
        <a:solidFill>
          <a:srgbClr val="76923C"/>
        </a:solidFill>
      </dgm:spPr>
      <dgm:t>
        <a:bodyPr/>
        <a:lstStyle/>
        <a:p>
          <a:r>
            <a:rPr lang="en-US" sz="1800"/>
            <a:t>Step 4: Category sheets</a:t>
          </a:r>
        </a:p>
      </dgm:t>
    </dgm:pt>
    <dgm:pt modelId="{07BAC280-92F1-4A57-A13F-1602EE1D1C00}" type="parTrans" cxnId="{E8C2F9A1-B1F6-41F1-A95C-BA15858B7030}">
      <dgm:prSet/>
      <dgm:spPr/>
      <dgm:t>
        <a:bodyPr/>
        <a:lstStyle/>
        <a:p>
          <a:endParaRPr lang="en-US"/>
        </a:p>
      </dgm:t>
    </dgm:pt>
    <dgm:pt modelId="{FF58AA89-99F2-431B-B640-036822104D50}" type="sibTrans" cxnId="{E8C2F9A1-B1F6-41F1-A95C-BA15858B7030}">
      <dgm:prSet/>
      <dgm:spPr/>
      <dgm:t>
        <a:bodyPr/>
        <a:lstStyle/>
        <a:p>
          <a:endParaRPr lang="en-US"/>
        </a:p>
      </dgm:t>
    </dgm:pt>
    <dgm:pt modelId="{F9083E11-4F71-4BBD-9780-F0DC4A6332F0}">
      <dgm:prSet custT="1"/>
      <dgm:spPr>
        <a:solidFill>
          <a:schemeClr val="bg1">
            <a:lumMod val="85000"/>
            <a:alpha val="90000"/>
          </a:schemeClr>
        </a:solidFill>
        <a:ln>
          <a:solidFill>
            <a:schemeClr val="bg1"/>
          </a:solidFill>
        </a:ln>
      </dgm:spPr>
      <dgm:t>
        <a:bodyPr anchor="ctr"/>
        <a:lstStyle/>
        <a:p>
          <a:r>
            <a:rPr lang="en-US" sz="1200"/>
            <a:t>The Scorecard is filled automatically as the user provides information in the light red cells of the credit sheets.</a:t>
          </a:r>
        </a:p>
      </dgm:t>
    </dgm:pt>
    <dgm:pt modelId="{9AFB5AFF-07CA-4691-8F15-DEF8F3D2A581}" type="parTrans" cxnId="{EEC180CD-BB18-44CD-8D76-A5923FCB6C36}">
      <dgm:prSet/>
      <dgm:spPr/>
      <dgm:t>
        <a:bodyPr/>
        <a:lstStyle/>
        <a:p>
          <a:endParaRPr lang="en-US"/>
        </a:p>
      </dgm:t>
    </dgm:pt>
    <dgm:pt modelId="{7352A9BC-DDDB-46C3-BB74-0C96690F288D}" type="sibTrans" cxnId="{EEC180CD-BB18-44CD-8D76-A5923FCB6C36}">
      <dgm:prSet/>
      <dgm:spPr/>
      <dgm:t>
        <a:bodyPr/>
        <a:lstStyle/>
        <a:p>
          <a:endParaRPr lang="en-US"/>
        </a:p>
      </dgm:t>
    </dgm:pt>
    <dgm:pt modelId="{92A00790-3DFA-4E6E-BC10-BDA978B40879}">
      <dgm:prSet custT="1"/>
      <dgm:spPr>
        <a:solidFill>
          <a:srgbClr val="76923C"/>
        </a:solidFill>
      </dgm:spPr>
      <dgm:t>
        <a:bodyPr/>
        <a:lstStyle/>
        <a:p>
          <a:r>
            <a:rPr lang="en-US" sz="1800"/>
            <a:t>Step 5: Credit sheets</a:t>
          </a:r>
        </a:p>
      </dgm:t>
    </dgm:pt>
    <dgm:pt modelId="{13CDDFCB-0CEB-4930-B756-22586CF79C5F}" type="parTrans" cxnId="{12352FA8-3538-4204-8AF4-325CB45DCAEE}">
      <dgm:prSet/>
      <dgm:spPr/>
      <dgm:t>
        <a:bodyPr/>
        <a:lstStyle/>
        <a:p>
          <a:endParaRPr lang="en-US"/>
        </a:p>
      </dgm:t>
    </dgm:pt>
    <dgm:pt modelId="{4334B1E6-1464-47C4-874E-BE1350ED802E}" type="sibTrans" cxnId="{12352FA8-3538-4204-8AF4-325CB45DCAEE}">
      <dgm:prSet/>
      <dgm:spPr/>
      <dgm:t>
        <a:bodyPr/>
        <a:lstStyle/>
        <a:p>
          <a:endParaRPr lang="en-US"/>
        </a:p>
      </dgm:t>
    </dgm:pt>
    <dgm:pt modelId="{1BF5AD01-5090-42C6-BBBD-84295ACD538D}">
      <dgm:prSet custT="1"/>
      <dgm:spPr>
        <a:solidFill>
          <a:schemeClr val="bg1">
            <a:lumMod val="85000"/>
            <a:alpha val="90000"/>
          </a:schemeClr>
        </a:solidFill>
        <a:ln>
          <a:solidFill>
            <a:schemeClr val="bg1"/>
          </a:solidFill>
        </a:ln>
      </dgm:spPr>
      <dgm:t>
        <a:bodyPr anchor="ctr"/>
        <a:lstStyle/>
        <a:p>
          <a:r>
            <a:rPr lang="en-US" sz="1200"/>
            <a:t>There is a main spreadsheet for each category providing an overview (list of credits and points available) of the category</a:t>
          </a:r>
        </a:p>
      </dgm:t>
    </dgm:pt>
    <dgm:pt modelId="{632E0C4A-8035-4A3B-B964-9A51EDD98AC3}" type="parTrans" cxnId="{3F4C7B3C-0112-49A8-8AF5-D0381F846010}">
      <dgm:prSet/>
      <dgm:spPr/>
      <dgm:t>
        <a:bodyPr/>
        <a:lstStyle/>
        <a:p>
          <a:endParaRPr lang="en-US"/>
        </a:p>
      </dgm:t>
    </dgm:pt>
    <dgm:pt modelId="{94C89C27-CB78-47B6-A248-02F63054822D}" type="sibTrans" cxnId="{3F4C7B3C-0112-49A8-8AF5-D0381F846010}">
      <dgm:prSet/>
      <dgm:spPr/>
      <dgm:t>
        <a:bodyPr/>
        <a:lstStyle/>
        <a:p>
          <a:endParaRPr lang="en-US"/>
        </a:p>
      </dgm:t>
    </dgm:pt>
    <dgm:pt modelId="{CCB44C10-8484-49B5-9D63-F8C42A34F805}">
      <dgm:prSet custT="1"/>
      <dgm:spPr>
        <a:solidFill>
          <a:schemeClr val="bg1">
            <a:lumMod val="85000"/>
            <a:alpha val="90000"/>
          </a:schemeClr>
        </a:solidFill>
        <a:ln>
          <a:solidFill>
            <a:schemeClr val="bg1"/>
          </a:solidFill>
        </a:ln>
      </dgm:spPr>
      <dgm:t>
        <a:bodyPr anchor="ctr"/>
        <a:lstStyle/>
        <a:p>
          <a:r>
            <a:rPr lang="en-US" sz="1200"/>
            <a:t>Navigate to the different categories by clicking on the appropriate images. </a:t>
          </a:r>
        </a:p>
      </dgm:t>
    </dgm:pt>
    <dgm:pt modelId="{E75A36B1-9B85-4D71-94A6-9C7BF1DB83AF}" type="parTrans" cxnId="{F7E10F02-DA45-4399-B590-ABE8049B9B66}">
      <dgm:prSet/>
      <dgm:spPr/>
      <dgm:t>
        <a:bodyPr/>
        <a:lstStyle/>
        <a:p>
          <a:endParaRPr lang="en-US"/>
        </a:p>
      </dgm:t>
    </dgm:pt>
    <dgm:pt modelId="{2006DA99-A2CD-4969-B108-6C2C59B35EB5}" type="sibTrans" cxnId="{F7E10F02-DA45-4399-B590-ABE8049B9B66}">
      <dgm:prSet/>
      <dgm:spPr/>
      <dgm:t>
        <a:bodyPr/>
        <a:lstStyle/>
        <a:p>
          <a:endParaRPr lang="en-US"/>
        </a:p>
      </dgm:t>
    </dgm:pt>
    <dgm:pt modelId="{041F61BF-7B3B-4397-B670-344F6010729E}">
      <dgm:prSet custT="1"/>
      <dgm:spPr>
        <a:solidFill>
          <a:schemeClr val="bg1">
            <a:lumMod val="85000"/>
            <a:alpha val="90000"/>
          </a:schemeClr>
        </a:solidFill>
        <a:ln>
          <a:solidFill>
            <a:schemeClr val="bg1"/>
          </a:solidFill>
        </a:ln>
      </dgm:spPr>
      <dgm:t>
        <a:bodyPr anchor="ctr"/>
        <a:lstStyle/>
        <a:p>
          <a:r>
            <a:rPr lang="en-US" sz="1200"/>
            <a:t>There is a separate spreadsheet for each LOTUS</a:t>
          </a:r>
          <a:r>
            <a:rPr lang="en-US" sz="1200" baseline="-25000"/>
            <a:t> </a:t>
          </a:r>
          <a:r>
            <a:rPr lang="en-US" sz="1200"/>
            <a:t>Small Buildings credit.</a:t>
          </a:r>
        </a:p>
      </dgm:t>
    </dgm:pt>
    <dgm:pt modelId="{2E1989B4-05DF-4D4F-A275-C7D2ADE90B0C}" type="parTrans" cxnId="{A8F53310-FD93-4D6D-81E9-5637C5E70B5F}">
      <dgm:prSet/>
      <dgm:spPr/>
      <dgm:t>
        <a:bodyPr/>
        <a:lstStyle/>
        <a:p>
          <a:endParaRPr lang="en-US"/>
        </a:p>
      </dgm:t>
    </dgm:pt>
    <dgm:pt modelId="{690CF9C6-C937-467E-8E2F-619DA26D4169}" type="sibTrans" cxnId="{A8F53310-FD93-4D6D-81E9-5637C5E70B5F}">
      <dgm:prSet/>
      <dgm:spPr/>
      <dgm:t>
        <a:bodyPr/>
        <a:lstStyle/>
        <a:p>
          <a:endParaRPr lang="en-US"/>
        </a:p>
      </dgm:t>
    </dgm:pt>
    <dgm:pt modelId="{6D402FEA-C63C-4E7D-B5CD-1217D9D16F5E}">
      <dgm:prSet custT="1"/>
      <dgm:spPr>
        <a:solidFill>
          <a:schemeClr val="bg1">
            <a:lumMod val="85000"/>
            <a:alpha val="90000"/>
          </a:schemeClr>
        </a:solidFill>
        <a:ln>
          <a:solidFill>
            <a:schemeClr val="bg1"/>
          </a:solidFill>
        </a:ln>
      </dgm:spPr>
      <dgm:t>
        <a:bodyPr anchor="ctr"/>
        <a:lstStyle/>
        <a:p>
          <a:r>
            <a:rPr lang="en-US" sz="1200"/>
            <a:t>This sheet provides the key information and instructions for the credit.</a:t>
          </a:r>
        </a:p>
      </dgm:t>
    </dgm:pt>
    <dgm:pt modelId="{8FEFB342-C940-42B2-9F9B-0C63D1E43BE2}" type="parTrans" cxnId="{32CFB27B-63A9-4587-9482-EE02698E6B6C}">
      <dgm:prSet/>
      <dgm:spPr/>
      <dgm:t>
        <a:bodyPr/>
        <a:lstStyle/>
        <a:p>
          <a:endParaRPr lang="en-US"/>
        </a:p>
      </dgm:t>
    </dgm:pt>
    <dgm:pt modelId="{9FD4F6FB-3DD3-4604-92A7-BC980AC6F9F9}" type="sibTrans" cxnId="{32CFB27B-63A9-4587-9482-EE02698E6B6C}">
      <dgm:prSet/>
      <dgm:spPr/>
      <dgm:t>
        <a:bodyPr/>
        <a:lstStyle/>
        <a:p>
          <a:endParaRPr lang="en-US"/>
        </a:p>
      </dgm:t>
    </dgm:pt>
    <dgm:pt modelId="{9150FDA9-2F77-4BB9-B28A-6E602E87AC97}">
      <dgm:prSet custT="1"/>
      <dgm:spPr>
        <a:solidFill>
          <a:schemeClr val="bg1">
            <a:lumMod val="85000"/>
            <a:alpha val="90000"/>
          </a:schemeClr>
        </a:solidFill>
        <a:ln>
          <a:solidFill>
            <a:schemeClr val="bg1"/>
          </a:solidFill>
        </a:ln>
      </dgm:spPr>
      <dgm:t>
        <a:bodyPr anchor="ctr"/>
        <a:lstStyle/>
        <a:p>
          <a:r>
            <a:rPr lang="en-US" sz="1200"/>
            <a:t>Read the contents of the credit sheet carefully and fill in appropriate information in the light-red coloured cells.</a:t>
          </a:r>
        </a:p>
      </dgm:t>
    </dgm:pt>
    <dgm:pt modelId="{0166B149-2F47-43BD-86D8-048B99C13DDE}" type="parTrans" cxnId="{16F0B77C-8072-46E1-AA2D-8FD1FA206DBC}">
      <dgm:prSet/>
      <dgm:spPr/>
      <dgm:t>
        <a:bodyPr/>
        <a:lstStyle/>
        <a:p>
          <a:endParaRPr lang="en-US"/>
        </a:p>
      </dgm:t>
    </dgm:pt>
    <dgm:pt modelId="{377E61AC-A2A0-447D-B264-CC2DC007225C}" type="sibTrans" cxnId="{16F0B77C-8072-46E1-AA2D-8FD1FA206DBC}">
      <dgm:prSet/>
      <dgm:spPr/>
      <dgm:t>
        <a:bodyPr/>
        <a:lstStyle/>
        <a:p>
          <a:endParaRPr lang="en-US"/>
        </a:p>
      </dgm:t>
    </dgm:pt>
    <dgm:pt modelId="{BCE2399F-31FE-4581-BB04-2BC7971A29FA}">
      <dgm:prSet custT="1"/>
      <dgm:spPr>
        <a:solidFill>
          <a:schemeClr val="bg1">
            <a:lumMod val="85000"/>
            <a:alpha val="90000"/>
          </a:schemeClr>
        </a:solidFill>
        <a:ln>
          <a:solidFill>
            <a:schemeClr val="bg1"/>
          </a:solidFill>
        </a:ln>
      </dgm:spPr>
      <dgm:t>
        <a:bodyPr anchor="ctr"/>
        <a:lstStyle/>
        <a:p>
          <a:r>
            <a:rPr lang="en-US" sz="1200"/>
            <a:t>The User Tool will automatically perform all the calculations and provide the results.</a:t>
          </a:r>
        </a:p>
      </dgm:t>
    </dgm:pt>
    <dgm:pt modelId="{5BDF5EC1-430B-4386-A97C-556D59DB2D1E}" type="parTrans" cxnId="{33278FFF-AA74-48E4-BA6D-B9AFBD8972AA}">
      <dgm:prSet/>
      <dgm:spPr/>
      <dgm:t>
        <a:bodyPr/>
        <a:lstStyle/>
        <a:p>
          <a:endParaRPr lang="en-US"/>
        </a:p>
      </dgm:t>
    </dgm:pt>
    <dgm:pt modelId="{076377FC-2A86-4C3B-AE8A-404FB0FE210B}" type="sibTrans" cxnId="{33278FFF-AA74-48E4-BA6D-B9AFBD8972AA}">
      <dgm:prSet/>
      <dgm:spPr/>
      <dgm:t>
        <a:bodyPr/>
        <a:lstStyle/>
        <a:p>
          <a:endParaRPr lang="en-US"/>
        </a:p>
      </dgm:t>
    </dgm:pt>
    <dgm:pt modelId="{FDA0AB67-BCCF-4A0E-AF5E-FB1568A34CF8}">
      <dgm:prSet custT="1"/>
      <dgm:spPr>
        <a:solidFill>
          <a:srgbClr val="76923C"/>
        </a:solidFill>
      </dgm:spPr>
      <dgm:t>
        <a:bodyPr/>
        <a:lstStyle/>
        <a:p>
          <a:r>
            <a:rPr lang="en-US" sz="1800"/>
            <a:t>Step 6: Submission Checklists</a:t>
          </a:r>
        </a:p>
      </dgm:t>
    </dgm:pt>
    <dgm:pt modelId="{2532122A-DC88-4ADB-AC46-F1F55A899308}" type="parTrans" cxnId="{7379B579-C026-49D7-BD0E-AC2938EE2628}">
      <dgm:prSet/>
      <dgm:spPr/>
      <dgm:t>
        <a:bodyPr/>
        <a:lstStyle/>
        <a:p>
          <a:endParaRPr lang="en-US"/>
        </a:p>
      </dgm:t>
    </dgm:pt>
    <dgm:pt modelId="{533F2383-7CC8-4BE1-BCCD-D4EEE2231453}" type="sibTrans" cxnId="{7379B579-C026-49D7-BD0E-AC2938EE2628}">
      <dgm:prSet/>
      <dgm:spPr/>
      <dgm:t>
        <a:bodyPr/>
        <a:lstStyle/>
        <a:p>
          <a:endParaRPr lang="en-US"/>
        </a:p>
      </dgm:t>
    </dgm:pt>
    <dgm:pt modelId="{183105BE-DA41-498F-B03E-FD77A90383CC}">
      <dgm:prSet custT="1"/>
      <dgm:spPr>
        <a:solidFill>
          <a:schemeClr val="bg1">
            <a:lumMod val="85000"/>
            <a:alpha val="90000"/>
          </a:schemeClr>
        </a:solidFill>
        <a:ln>
          <a:solidFill>
            <a:schemeClr val="bg1"/>
          </a:solidFill>
        </a:ln>
      </dgm:spPr>
      <dgm:t>
        <a:bodyPr anchor="t"/>
        <a:lstStyle/>
        <a:p>
          <a:r>
            <a:rPr lang="en-US" sz="1200"/>
            <a:t>Refer to the 2 sheets 'Pre-assessment checklist' and 'Certification stage checklist ' for a list of mandatory requirements before making submissions for pre-assessment stage and certification stage</a:t>
          </a:r>
        </a:p>
      </dgm:t>
    </dgm:pt>
    <dgm:pt modelId="{CC6D3595-8F6F-4A3D-B726-CBBC427658FD}" type="parTrans" cxnId="{08BD3635-675E-4584-AB3A-AB791F0FF583}">
      <dgm:prSet/>
      <dgm:spPr/>
      <dgm:t>
        <a:bodyPr/>
        <a:lstStyle/>
        <a:p>
          <a:endParaRPr lang="en-US"/>
        </a:p>
      </dgm:t>
    </dgm:pt>
    <dgm:pt modelId="{843C0F15-D565-4A65-97A8-58E708213DD7}" type="sibTrans" cxnId="{08BD3635-675E-4584-AB3A-AB791F0FF583}">
      <dgm:prSet/>
      <dgm:spPr/>
      <dgm:t>
        <a:bodyPr/>
        <a:lstStyle/>
        <a:p>
          <a:endParaRPr lang="en-US"/>
        </a:p>
      </dgm:t>
    </dgm:pt>
    <dgm:pt modelId="{190B9E62-EAE9-4D69-B816-7AC0F880251E}">
      <dgm:prSet custT="1"/>
      <dgm:spPr>
        <a:solidFill>
          <a:schemeClr val="bg1">
            <a:lumMod val="85000"/>
            <a:alpha val="90000"/>
          </a:schemeClr>
        </a:solidFill>
        <a:ln>
          <a:solidFill>
            <a:schemeClr val="bg1"/>
          </a:solidFill>
        </a:ln>
      </dgm:spPr>
      <dgm:t>
        <a:bodyPr anchor="t"/>
        <a:lstStyle/>
        <a:p>
          <a:endParaRPr lang="en-US" sz="1200"/>
        </a:p>
      </dgm:t>
    </dgm:pt>
    <dgm:pt modelId="{6C86B2D4-01CA-4B0C-88A9-9D9420A88361}" type="parTrans" cxnId="{38746F03-C6A9-46EA-AB47-4850EB6933CB}">
      <dgm:prSet/>
      <dgm:spPr/>
      <dgm:t>
        <a:bodyPr/>
        <a:lstStyle/>
        <a:p>
          <a:endParaRPr lang="en-US"/>
        </a:p>
      </dgm:t>
    </dgm:pt>
    <dgm:pt modelId="{9501B2D3-1715-4458-B659-0005643D2746}" type="sibTrans" cxnId="{38746F03-C6A9-46EA-AB47-4850EB6933CB}">
      <dgm:prSet/>
      <dgm:spPr/>
      <dgm:t>
        <a:bodyPr/>
        <a:lstStyle/>
        <a:p>
          <a:endParaRPr lang="en-US"/>
        </a:p>
      </dgm:t>
    </dgm:pt>
    <dgm:pt modelId="{CD363F13-4C4E-4A07-BE6F-AA7AE79DBF0B}">
      <dgm:prSet custT="1"/>
      <dgm:spPr>
        <a:solidFill>
          <a:schemeClr val="bg1">
            <a:lumMod val="85000"/>
            <a:alpha val="90000"/>
          </a:schemeClr>
        </a:solidFill>
        <a:ln>
          <a:solidFill>
            <a:schemeClr val="bg1"/>
          </a:solidFill>
        </a:ln>
      </dgm:spPr>
      <dgm:t>
        <a:bodyPr anchor="ctr"/>
        <a:lstStyle/>
        <a:p>
          <a:r>
            <a:rPr lang="en-US" sz="1200"/>
            <a:t>Select the current Submission stage of the project between Pre-assessment stage and Certification stage</a:t>
          </a:r>
        </a:p>
      </dgm:t>
    </dgm:pt>
    <dgm:pt modelId="{B069EE1D-8642-47EC-9AFE-556922E030ED}" type="parTrans" cxnId="{57B10671-564E-4D17-ACE2-37880F34BF4E}">
      <dgm:prSet/>
      <dgm:spPr/>
      <dgm:t>
        <a:bodyPr/>
        <a:lstStyle/>
        <a:p>
          <a:endParaRPr lang="en-US"/>
        </a:p>
      </dgm:t>
    </dgm:pt>
    <dgm:pt modelId="{FEE00A98-BB30-449E-A107-95450D7A8874}" type="sibTrans" cxnId="{57B10671-564E-4D17-ACE2-37880F34BF4E}">
      <dgm:prSet/>
      <dgm:spPr/>
      <dgm:t>
        <a:bodyPr/>
        <a:lstStyle/>
        <a:p>
          <a:endParaRPr lang="en-US"/>
        </a:p>
      </dgm:t>
    </dgm:pt>
    <dgm:pt modelId="{095D0AC1-B91C-498A-96D4-2FE32E865267}">
      <dgm:prSet custT="1"/>
      <dgm:spPr>
        <a:solidFill>
          <a:schemeClr val="bg1">
            <a:lumMod val="85000"/>
            <a:alpha val="90000"/>
          </a:schemeClr>
        </a:solidFill>
        <a:ln>
          <a:solidFill>
            <a:schemeClr val="bg1"/>
          </a:solidFill>
        </a:ln>
      </dgm:spPr>
      <dgm:t>
        <a:bodyPr anchor="ctr"/>
        <a:lstStyle/>
        <a:p>
          <a:r>
            <a:rPr lang="en-US" sz="1200"/>
            <a:t>Navigate to the different credits of each category from these spreadsheets.</a:t>
          </a:r>
        </a:p>
      </dgm:t>
    </dgm:pt>
    <dgm:pt modelId="{130DCD0C-439A-413E-9E26-568CAB1A4733}" type="parTrans" cxnId="{5A04D568-7717-4069-A7C3-9C5F0CD6F1F8}">
      <dgm:prSet/>
      <dgm:spPr/>
      <dgm:t>
        <a:bodyPr/>
        <a:lstStyle/>
        <a:p>
          <a:endParaRPr lang="en-US"/>
        </a:p>
      </dgm:t>
    </dgm:pt>
    <dgm:pt modelId="{C88632EE-1CF1-486F-B9C6-DF591AF3AF66}" type="sibTrans" cxnId="{5A04D568-7717-4069-A7C3-9C5F0CD6F1F8}">
      <dgm:prSet/>
      <dgm:spPr/>
      <dgm:t>
        <a:bodyPr/>
        <a:lstStyle/>
        <a:p>
          <a:endParaRPr lang="en-US"/>
        </a:p>
      </dgm:t>
    </dgm:pt>
    <dgm:pt modelId="{B4223EA0-F374-465A-988B-39F9D85D92BB}">
      <dgm:prSet custT="1"/>
      <dgm:spPr>
        <a:solidFill>
          <a:srgbClr val="76923C"/>
        </a:solidFill>
      </dgm:spPr>
      <dgm:t>
        <a:bodyPr/>
        <a:lstStyle/>
        <a:p>
          <a:r>
            <a:rPr lang="en-US" sz="1800"/>
            <a:t>Step 7: Glossary and Resources</a:t>
          </a:r>
        </a:p>
      </dgm:t>
      <dgm:extLst>
        <a:ext uri="{E40237B7-FDA0-4F09-8148-C483321AD2D9}">
          <dgm14:cNvPr xmlns:dgm14="http://schemas.microsoft.com/office/drawing/2010/diagram" id="0" name="">
            <a:hlinkClick xmlns:r="http://schemas.openxmlformats.org/officeDocument/2006/relationships" r:id="rId3" tooltip="Glossary"/>
          </dgm14:cNvPr>
        </a:ext>
      </dgm:extLst>
    </dgm:pt>
    <dgm:pt modelId="{7151A66E-33BD-4C96-8273-C02FA4834330}" type="parTrans" cxnId="{3FA5AC5F-5A04-4CFA-B881-E8D66BE1750B}">
      <dgm:prSet/>
      <dgm:spPr/>
      <dgm:t>
        <a:bodyPr/>
        <a:lstStyle/>
        <a:p>
          <a:endParaRPr lang="en-US"/>
        </a:p>
      </dgm:t>
    </dgm:pt>
    <dgm:pt modelId="{05F8F0A6-FA46-414A-86B4-4BED3DEE3A70}" type="sibTrans" cxnId="{3FA5AC5F-5A04-4CFA-B881-E8D66BE1750B}">
      <dgm:prSet/>
      <dgm:spPr/>
      <dgm:t>
        <a:bodyPr/>
        <a:lstStyle/>
        <a:p>
          <a:endParaRPr lang="en-US"/>
        </a:p>
      </dgm:t>
    </dgm:pt>
    <dgm:pt modelId="{A8CAF16D-B2F3-4285-9F9C-A26B4E437782}">
      <dgm:prSet custT="1"/>
      <dgm:spPr>
        <a:solidFill>
          <a:schemeClr val="bg1">
            <a:lumMod val="85000"/>
            <a:alpha val="90000"/>
          </a:schemeClr>
        </a:solidFill>
        <a:ln>
          <a:noFill/>
        </a:ln>
      </dgm:spPr>
      <dgm:t>
        <a:bodyPr anchor="ctr"/>
        <a:lstStyle/>
        <a:p>
          <a:pPr>
            <a:lnSpc>
              <a:spcPct val="90000"/>
            </a:lnSpc>
            <a:spcAft>
              <a:spcPct val="15000"/>
            </a:spcAft>
          </a:pPr>
          <a:r>
            <a:rPr lang="en-US" sz="1200"/>
            <a:t>The Glossary sheet defines all the important terms necessary to follow LOTUS</a:t>
          </a:r>
          <a:r>
            <a:rPr lang="en-US" sz="1200" baseline="-25000"/>
            <a:t> </a:t>
          </a:r>
          <a:r>
            <a:rPr lang="en-US" sz="1200"/>
            <a:t>Public Buildings Certification.</a:t>
          </a:r>
        </a:p>
      </dgm:t>
    </dgm:pt>
    <dgm:pt modelId="{F27F26FF-7C2B-4532-ADBD-901D97F56755}" type="parTrans" cxnId="{36DB6256-6228-482D-8F0A-A810C5ACC969}">
      <dgm:prSet/>
      <dgm:spPr/>
      <dgm:t>
        <a:bodyPr/>
        <a:lstStyle/>
        <a:p>
          <a:endParaRPr lang="en-US"/>
        </a:p>
      </dgm:t>
    </dgm:pt>
    <dgm:pt modelId="{F2A8DE4D-3C08-4FB6-8EBC-0DC0CE7B5F11}" type="sibTrans" cxnId="{36DB6256-6228-482D-8F0A-A810C5ACC969}">
      <dgm:prSet/>
      <dgm:spPr/>
      <dgm:t>
        <a:bodyPr/>
        <a:lstStyle/>
        <a:p>
          <a:endParaRPr lang="en-US"/>
        </a:p>
      </dgm:t>
    </dgm:pt>
    <dgm:pt modelId="{D5BD095E-10DC-4E7B-B957-5A0F5D949E72}">
      <dgm:prSet custT="1"/>
      <dgm:spPr>
        <a:solidFill>
          <a:schemeClr val="bg1">
            <a:lumMod val="85000"/>
            <a:alpha val="90000"/>
          </a:schemeClr>
        </a:solidFill>
        <a:ln>
          <a:noFill/>
        </a:ln>
      </dgm:spPr>
      <dgm:t>
        <a:bodyPr anchor="ctr"/>
        <a:lstStyle/>
        <a:p>
          <a:pPr>
            <a:lnSpc>
              <a:spcPct val="100000"/>
            </a:lnSpc>
            <a:spcAft>
              <a:spcPts val="0"/>
            </a:spcAft>
          </a:pPr>
          <a:r>
            <a:rPr lang="en-US" sz="1200"/>
            <a:t>The Resources sheet contains further guidance and information on some credits.</a:t>
          </a:r>
        </a:p>
      </dgm:t>
    </dgm:pt>
    <dgm:pt modelId="{CA3D530F-F67F-4610-BE8F-C6F6FDE863D1}" type="parTrans" cxnId="{793AF22D-CDD1-45D0-9571-198E6E1C569A}">
      <dgm:prSet/>
      <dgm:spPr/>
      <dgm:t>
        <a:bodyPr/>
        <a:lstStyle/>
        <a:p>
          <a:endParaRPr lang="en-US"/>
        </a:p>
      </dgm:t>
    </dgm:pt>
    <dgm:pt modelId="{F290B284-7224-40F2-970D-5695988EAE3B}" type="sibTrans" cxnId="{793AF22D-CDD1-45D0-9571-198E6E1C569A}">
      <dgm:prSet/>
      <dgm:spPr/>
      <dgm:t>
        <a:bodyPr/>
        <a:lstStyle/>
        <a:p>
          <a:endParaRPr lang="en-US"/>
        </a:p>
      </dgm:t>
    </dgm:pt>
    <dgm:pt modelId="{F842C0D3-1FEE-43CF-92FD-7B6540B2289B}">
      <dgm:prSet phldrT="[Text]" custT="1"/>
      <dgm:spPr>
        <a:solidFill>
          <a:srgbClr val="76923C"/>
        </a:solidFill>
      </dgm:spPr>
      <dgm:t>
        <a:bodyPr/>
        <a:lstStyle/>
        <a:p>
          <a:r>
            <a:rPr lang="en-US" sz="1800"/>
            <a:t>Step 1: Application Form</a:t>
          </a:r>
        </a:p>
      </dgm:t>
      <dgm:extLst>
        <a:ext uri="{E40237B7-FDA0-4F09-8148-C483321AD2D9}">
          <dgm14:cNvPr xmlns:dgm14="http://schemas.microsoft.com/office/drawing/2010/diagram" id="0" name="">
            <a:hlinkClick xmlns:r="http://schemas.openxmlformats.org/officeDocument/2006/relationships" r:id="rId4" tooltip="Application Form"/>
          </dgm14:cNvPr>
        </a:ext>
      </dgm:extLst>
    </dgm:pt>
    <dgm:pt modelId="{155B8187-FB3C-443E-96AE-ECD8AA9B5028}" type="parTrans" cxnId="{1B9F449A-0E40-478E-9418-D9A28C503D51}">
      <dgm:prSet/>
      <dgm:spPr/>
      <dgm:t>
        <a:bodyPr/>
        <a:lstStyle/>
        <a:p>
          <a:endParaRPr lang="en-US"/>
        </a:p>
      </dgm:t>
    </dgm:pt>
    <dgm:pt modelId="{AF5A4BAE-11C4-4B71-A952-DE7AD20A7D3D}" type="sibTrans" cxnId="{1B9F449A-0E40-478E-9418-D9A28C503D51}">
      <dgm:prSet/>
      <dgm:spPr/>
      <dgm:t>
        <a:bodyPr/>
        <a:lstStyle/>
        <a:p>
          <a:endParaRPr lang="en-US"/>
        </a:p>
      </dgm:t>
    </dgm:pt>
    <dgm:pt modelId="{07B8A37F-0953-4435-9373-73389A16C5D3}">
      <dgm:prSet custT="1"/>
      <dgm:spPr>
        <a:solidFill>
          <a:schemeClr val="bg1">
            <a:lumMod val="85000"/>
            <a:alpha val="90000"/>
          </a:schemeClr>
        </a:solidFill>
        <a:ln>
          <a:noFill/>
        </a:ln>
      </dgm:spPr>
      <dgm:t>
        <a:bodyPr anchor="ctr"/>
        <a:lstStyle/>
        <a:p>
          <a:r>
            <a:rPr lang="en-US" sz="1200"/>
            <a:t>Complete, print, sign and submit the Application Form to VGBC for registering your project.</a:t>
          </a:r>
        </a:p>
      </dgm:t>
    </dgm:pt>
    <dgm:pt modelId="{319DAB65-59CE-4B92-91A5-DE4F755D2391}" type="parTrans" cxnId="{A1A56E74-F95E-44C5-B3EB-E1D3206C5062}">
      <dgm:prSet/>
      <dgm:spPr/>
      <dgm:t>
        <a:bodyPr/>
        <a:lstStyle/>
        <a:p>
          <a:endParaRPr lang="en-US"/>
        </a:p>
      </dgm:t>
    </dgm:pt>
    <dgm:pt modelId="{1AA4B2B9-A679-4EE6-8C07-1B103C817F85}" type="sibTrans" cxnId="{A1A56E74-F95E-44C5-B3EB-E1D3206C5062}">
      <dgm:prSet/>
      <dgm:spPr/>
      <dgm:t>
        <a:bodyPr/>
        <a:lstStyle/>
        <a:p>
          <a:endParaRPr lang="en-US"/>
        </a:p>
      </dgm:t>
    </dgm:pt>
    <dgm:pt modelId="{25259E53-6BF9-45B9-9B1C-BC84C3D8A83A}" type="pres">
      <dgm:prSet presAssocID="{36FB4A36-E9C9-411A-98C6-F052B50A6EE5}" presName="linear" presStyleCnt="0">
        <dgm:presLayoutVars>
          <dgm:dir/>
          <dgm:animLvl val="lvl"/>
          <dgm:resizeHandles val="exact"/>
        </dgm:presLayoutVars>
      </dgm:prSet>
      <dgm:spPr/>
    </dgm:pt>
    <dgm:pt modelId="{B654DDF1-4D7F-42A4-BCB9-1C797A862A3B}" type="pres">
      <dgm:prSet presAssocID="{F842C0D3-1FEE-43CF-92FD-7B6540B2289B}" presName="parentLin" presStyleCnt="0"/>
      <dgm:spPr/>
    </dgm:pt>
    <dgm:pt modelId="{CCE02E43-1588-42D1-B70D-DB6E0BBE110A}" type="pres">
      <dgm:prSet presAssocID="{F842C0D3-1FEE-43CF-92FD-7B6540B2289B}" presName="parentLeftMargin" presStyleLbl="node1" presStyleIdx="0" presStyleCnt="7"/>
      <dgm:spPr/>
    </dgm:pt>
    <dgm:pt modelId="{C5334FA4-E4E8-4480-9609-7791FBBC1674}" type="pres">
      <dgm:prSet presAssocID="{F842C0D3-1FEE-43CF-92FD-7B6540B2289B}" presName="parentText" presStyleLbl="node1" presStyleIdx="0" presStyleCnt="7" custScaleY="84428">
        <dgm:presLayoutVars>
          <dgm:chMax val="0"/>
          <dgm:bulletEnabled val="1"/>
        </dgm:presLayoutVars>
      </dgm:prSet>
      <dgm:spPr/>
    </dgm:pt>
    <dgm:pt modelId="{B10E1BE0-19FD-4631-B8BD-69F54331AD15}" type="pres">
      <dgm:prSet presAssocID="{F842C0D3-1FEE-43CF-92FD-7B6540B2289B}" presName="negativeSpace" presStyleCnt="0"/>
      <dgm:spPr/>
    </dgm:pt>
    <dgm:pt modelId="{B83FCAB9-EBEC-48D9-AB2C-C6AFCD1E6B8E}" type="pres">
      <dgm:prSet presAssocID="{F842C0D3-1FEE-43CF-92FD-7B6540B2289B}" presName="childText" presStyleLbl="conFgAcc1" presStyleIdx="0" presStyleCnt="7">
        <dgm:presLayoutVars>
          <dgm:bulletEnabled val="1"/>
        </dgm:presLayoutVars>
      </dgm:prSet>
      <dgm:spPr>
        <a:prstGeom prst="roundRect">
          <a:avLst/>
        </a:prstGeom>
      </dgm:spPr>
    </dgm:pt>
    <dgm:pt modelId="{662B90C0-3E08-4F7C-BCC5-879C534A9062}" type="pres">
      <dgm:prSet presAssocID="{AF5A4BAE-11C4-4B71-A952-DE7AD20A7D3D}" presName="spaceBetweenRectangles" presStyleCnt="0"/>
      <dgm:spPr/>
    </dgm:pt>
    <dgm:pt modelId="{5A5EF130-0367-4021-90A2-055314440987}" type="pres">
      <dgm:prSet presAssocID="{18D65B10-0541-469E-A566-FFFF293F0913}" presName="parentLin" presStyleCnt="0"/>
      <dgm:spPr/>
    </dgm:pt>
    <dgm:pt modelId="{4DE46C19-1B06-4F72-8575-CB952CC4F2B3}" type="pres">
      <dgm:prSet presAssocID="{18D65B10-0541-469E-A566-FFFF293F0913}" presName="parentLeftMargin" presStyleLbl="node1" presStyleIdx="0" presStyleCnt="7"/>
      <dgm:spPr/>
    </dgm:pt>
    <dgm:pt modelId="{E6F9C73F-9A71-4BD6-BAA2-D97C3D80C5E5}" type="pres">
      <dgm:prSet presAssocID="{18D65B10-0541-469E-A566-FFFF293F0913}" presName="parentText" presStyleLbl="node1" presStyleIdx="1" presStyleCnt="7" custScaleY="84428">
        <dgm:presLayoutVars>
          <dgm:chMax val="0"/>
          <dgm:bulletEnabled val="1"/>
        </dgm:presLayoutVars>
      </dgm:prSet>
      <dgm:spPr/>
    </dgm:pt>
    <dgm:pt modelId="{221F41B3-4048-461A-B5A9-BBA49675F13F}" type="pres">
      <dgm:prSet presAssocID="{18D65B10-0541-469E-A566-FFFF293F0913}" presName="negativeSpace" presStyleCnt="0"/>
      <dgm:spPr/>
    </dgm:pt>
    <dgm:pt modelId="{F696AFEC-B333-4282-BFEA-6C8CF0D1B162}" type="pres">
      <dgm:prSet presAssocID="{18D65B10-0541-469E-A566-FFFF293F0913}" presName="childText" presStyleLbl="conFgAcc1" presStyleIdx="1" presStyleCnt="7">
        <dgm:presLayoutVars>
          <dgm:bulletEnabled val="1"/>
        </dgm:presLayoutVars>
      </dgm:prSet>
      <dgm:spPr>
        <a:prstGeom prst="roundRect">
          <a:avLst/>
        </a:prstGeom>
      </dgm:spPr>
    </dgm:pt>
    <dgm:pt modelId="{A0D6BE71-623E-4D96-9795-252C049EDD02}" type="pres">
      <dgm:prSet presAssocID="{4159D29E-92E2-4E8F-A6BB-1A69F64C6C25}" presName="spaceBetweenRectangles" presStyleCnt="0"/>
      <dgm:spPr/>
    </dgm:pt>
    <dgm:pt modelId="{7BE3202F-62D2-4367-BB5C-F779D889BFFD}" type="pres">
      <dgm:prSet presAssocID="{074F5F59-0629-4C17-A002-32A8FEBF23B6}" presName="parentLin" presStyleCnt="0"/>
      <dgm:spPr/>
    </dgm:pt>
    <dgm:pt modelId="{BBE06E77-91F4-457D-85B8-CA22B2CEDDC2}" type="pres">
      <dgm:prSet presAssocID="{074F5F59-0629-4C17-A002-32A8FEBF23B6}" presName="parentLeftMargin" presStyleLbl="node1" presStyleIdx="1" presStyleCnt="7"/>
      <dgm:spPr/>
    </dgm:pt>
    <dgm:pt modelId="{6740D588-A1FC-40CF-9D13-1578E3488064}" type="pres">
      <dgm:prSet presAssocID="{074F5F59-0629-4C17-A002-32A8FEBF23B6}" presName="parentText" presStyleLbl="node1" presStyleIdx="2" presStyleCnt="7" custScaleY="84428">
        <dgm:presLayoutVars>
          <dgm:chMax val="0"/>
          <dgm:bulletEnabled val="1"/>
        </dgm:presLayoutVars>
      </dgm:prSet>
      <dgm:spPr/>
    </dgm:pt>
    <dgm:pt modelId="{1CD691F0-601C-4C6F-A48C-6F9F51DBF109}" type="pres">
      <dgm:prSet presAssocID="{074F5F59-0629-4C17-A002-32A8FEBF23B6}" presName="negativeSpace" presStyleCnt="0"/>
      <dgm:spPr/>
    </dgm:pt>
    <dgm:pt modelId="{284A29C9-C546-4F3D-8AD6-42D9476EB620}" type="pres">
      <dgm:prSet presAssocID="{074F5F59-0629-4C17-A002-32A8FEBF23B6}" presName="childText" presStyleLbl="conFgAcc1" presStyleIdx="2" presStyleCnt="7">
        <dgm:presLayoutVars>
          <dgm:bulletEnabled val="1"/>
        </dgm:presLayoutVars>
      </dgm:prSet>
      <dgm:spPr>
        <a:prstGeom prst="roundRect">
          <a:avLst/>
        </a:prstGeom>
      </dgm:spPr>
    </dgm:pt>
    <dgm:pt modelId="{A30E5078-FC99-42CE-BB3D-E8A43DE9BE12}" type="pres">
      <dgm:prSet presAssocID="{8126839F-1087-4495-BB68-EB154FF604FB}" presName="spaceBetweenRectangles" presStyleCnt="0"/>
      <dgm:spPr/>
    </dgm:pt>
    <dgm:pt modelId="{3B144939-F4E4-436F-B0A2-0412BCF7F90A}" type="pres">
      <dgm:prSet presAssocID="{4B3F0A15-1DEB-4185-93B6-EE16AB1BF4B8}" presName="parentLin" presStyleCnt="0"/>
      <dgm:spPr/>
    </dgm:pt>
    <dgm:pt modelId="{12AA65EA-BB30-48AB-BA85-950222336B25}" type="pres">
      <dgm:prSet presAssocID="{4B3F0A15-1DEB-4185-93B6-EE16AB1BF4B8}" presName="parentLeftMargin" presStyleLbl="node1" presStyleIdx="2" presStyleCnt="7"/>
      <dgm:spPr/>
    </dgm:pt>
    <dgm:pt modelId="{B3D6AE2B-6188-4039-A24E-BBEA54C42128}" type="pres">
      <dgm:prSet presAssocID="{4B3F0A15-1DEB-4185-93B6-EE16AB1BF4B8}" presName="parentText" presStyleLbl="node1" presStyleIdx="3" presStyleCnt="7" custScaleY="84428">
        <dgm:presLayoutVars>
          <dgm:chMax val="0"/>
          <dgm:bulletEnabled val="1"/>
        </dgm:presLayoutVars>
      </dgm:prSet>
      <dgm:spPr/>
    </dgm:pt>
    <dgm:pt modelId="{08043CDE-FDFD-4EE2-B1E1-3BED171BFFB8}" type="pres">
      <dgm:prSet presAssocID="{4B3F0A15-1DEB-4185-93B6-EE16AB1BF4B8}" presName="negativeSpace" presStyleCnt="0"/>
      <dgm:spPr/>
    </dgm:pt>
    <dgm:pt modelId="{B6A52FED-A50C-455F-8138-D21A601346D8}" type="pres">
      <dgm:prSet presAssocID="{4B3F0A15-1DEB-4185-93B6-EE16AB1BF4B8}" presName="childText" presStyleLbl="conFgAcc1" presStyleIdx="3" presStyleCnt="7">
        <dgm:presLayoutVars>
          <dgm:bulletEnabled val="1"/>
        </dgm:presLayoutVars>
      </dgm:prSet>
      <dgm:spPr>
        <a:prstGeom prst="roundRect">
          <a:avLst/>
        </a:prstGeom>
      </dgm:spPr>
    </dgm:pt>
    <dgm:pt modelId="{DADC793B-0A50-42D7-BA0C-C31149FE9674}" type="pres">
      <dgm:prSet presAssocID="{FF58AA89-99F2-431B-B640-036822104D50}" presName="spaceBetweenRectangles" presStyleCnt="0"/>
      <dgm:spPr/>
    </dgm:pt>
    <dgm:pt modelId="{731E547D-0CE7-4402-881D-5462C7C8A173}" type="pres">
      <dgm:prSet presAssocID="{92A00790-3DFA-4E6E-BC10-BDA978B40879}" presName="parentLin" presStyleCnt="0"/>
      <dgm:spPr/>
    </dgm:pt>
    <dgm:pt modelId="{0A139DD8-3DF0-4957-952E-B4EE8DBEE640}" type="pres">
      <dgm:prSet presAssocID="{92A00790-3DFA-4E6E-BC10-BDA978B40879}" presName="parentLeftMargin" presStyleLbl="node1" presStyleIdx="3" presStyleCnt="7"/>
      <dgm:spPr/>
    </dgm:pt>
    <dgm:pt modelId="{971B44BE-E44E-4022-8567-1BF31102C850}" type="pres">
      <dgm:prSet presAssocID="{92A00790-3DFA-4E6E-BC10-BDA978B40879}" presName="parentText" presStyleLbl="node1" presStyleIdx="4" presStyleCnt="7" custScaleY="84428">
        <dgm:presLayoutVars>
          <dgm:chMax val="0"/>
          <dgm:bulletEnabled val="1"/>
        </dgm:presLayoutVars>
      </dgm:prSet>
      <dgm:spPr/>
    </dgm:pt>
    <dgm:pt modelId="{65499A02-237F-4797-BC74-586F999670C2}" type="pres">
      <dgm:prSet presAssocID="{92A00790-3DFA-4E6E-BC10-BDA978B40879}" presName="negativeSpace" presStyleCnt="0"/>
      <dgm:spPr/>
    </dgm:pt>
    <dgm:pt modelId="{4458F318-4BE7-4C09-B25E-52BFB7878ACE}" type="pres">
      <dgm:prSet presAssocID="{92A00790-3DFA-4E6E-BC10-BDA978B40879}" presName="childText" presStyleLbl="conFgAcc1" presStyleIdx="4" presStyleCnt="7">
        <dgm:presLayoutVars>
          <dgm:bulletEnabled val="1"/>
        </dgm:presLayoutVars>
      </dgm:prSet>
      <dgm:spPr>
        <a:prstGeom prst="roundRect">
          <a:avLst/>
        </a:prstGeom>
      </dgm:spPr>
    </dgm:pt>
    <dgm:pt modelId="{4A6D5DFB-6023-4A83-8B5C-B7E578039EBE}" type="pres">
      <dgm:prSet presAssocID="{4334B1E6-1464-47C4-874E-BE1350ED802E}" presName="spaceBetweenRectangles" presStyleCnt="0"/>
      <dgm:spPr/>
    </dgm:pt>
    <dgm:pt modelId="{5F999893-D022-4140-BE7D-CC167D11E04C}" type="pres">
      <dgm:prSet presAssocID="{FDA0AB67-BCCF-4A0E-AF5E-FB1568A34CF8}" presName="parentLin" presStyleCnt="0"/>
      <dgm:spPr/>
    </dgm:pt>
    <dgm:pt modelId="{EE8F2B1F-2F55-44F8-8ED4-6B4D5BD790A0}" type="pres">
      <dgm:prSet presAssocID="{FDA0AB67-BCCF-4A0E-AF5E-FB1568A34CF8}" presName="parentLeftMargin" presStyleLbl="node1" presStyleIdx="4" presStyleCnt="7"/>
      <dgm:spPr/>
    </dgm:pt>
    <dgm:pt modelId="{6893759E-6629-489E-80C8-992D30467335}" type="pres">
      <dgm:prSet presAssocID="{FDA0AB67-BCCF-4A0E-AF5E-FB1568A34CF8}" presName="parentText" presStyleLbl="node1" presStyleIdx="5" presStyleCnt="7" custScaleY="84428">
        <dgm:presLayoutVars>
          <dgm:chMax val="0"/>
          <dgm:bulletEnabled val="1"/>
        </dgm:presLayoutVars>
      </dgm:prSet>
      <dgm:spPr/>
    </dgm:pt>
    <dgm:pt modelId="{3A65CE9A-672F-4115-8E7F-BB9A1C3883D7}" type="pres">
      <dgm:prSet presAssocID="{FDA0AB67-BCCF-4A0E-AF5E-FB1568A34CF8}" presName="negativeSpace" presStyleCnt="0"/>
      <dgm:spPr/>
    </dgm:pt>
    <dgm:pt modelId="{78BCC2E0-3957-4F5E-B564-9B3EA0ADB56F}" type="pres">
      <dgm:prSet presAssocID="{FDA0AB67-BCCF-4A0E-AF5E-FB1568A34CF8}" presName="childText" presStyleLbl="conFgAcc1" presStyleIdx="5" presStyleCnt="7" custScaleY="117320">
        <dgm:presLayoutVars>
          <dgm:bulletEnabled val="1"/>
        </dgm:presLayoutVars>
      </dgm:prSet>
      <dgm:spPr>
        <a:prstGeom prst="roundRect">
          <a:avLst/>
        </a:prstGeom>
      </dgm:spPr>
    </dgm:pt>
    <dgm:pt modelId="{4707652B-E8C2-4979-8DE6-1AAA5768C355}" type="pres">
      <dgm:prSet presAssocID="{533F2383-7CC8-4BE1-BCCD-D4EEE2231453}" presName="spaceBetweenRectangles" presStyleCnt="0"/>
      <dgm:spPr/>
    </dgm:pt>
    <dgm:pt modelId="{52F15177-AA2E-4DDE-BBAB-E34464E9644D}" type="pres">
      <dgm:prSet presAssocID="{B4223EA0-F374-465A-988B-39F9D85D92BB}" presName="parentLin" presStyleCnt="0"/>
      <dgm:spPr/>
    </dgm:pt>
    <dgm:pt modelId="{1206743F-085A-4816-844C-C60841044350}" type="pres">
      <dgm:prSet presAssocID="{B4223EA0-F374-465A-988B-39F9D85D92BB}" presName="parentLeftMargin" presStyleLbl="node1" presStyleIdx="5" presStyleCnt="7"/>
      <dgm:spPr/>
    </dgm:pt>
    <dgm:pt modelId="{CFF7251A-48E3-4A5E-9073-9D3283E4685E}" type="pres">
      <dgm:prSet presAssocID="{B4223EA0-F374-465A-988B-39F9D85D92BB}" presName="parentText" presStyleLbl="node1" presStyleIdx="6" presStyleCnt="7" custScaleY="84428">
        <dgm:presLayoutVars>
          <dgm:chMax val="0"/>
          <dgm:bulletEnabled val="1"/>
        </dgm:presLayoutVars>
      </dgm:prSet>
      <dgm:spPr/>
    </dgm:pt>
    <dgm:pt modelId="{842F2109-C618-41AA-B8A3-DF6E49C56C1D}" type="pres">
      <dgm:prSet presAssocID="{B4223EA0-F374-465A-988B-39F9D85D92BB}" presName="negativeSpace" presStyleCnt="0"/>
      <dgm:spPr/>
    </dgm:pt>
    <dgm:pt modelId="{728DACDB-3CC3-454A-9AD6-5D5CF970331D}" type="pres">
      <dgm:prSet presAssocID="{B4223EA0-F374-465A-988B-39F9D85D92BB}" presName="childText" presStyleLbl="conFgAcc1" presStyleIdx="6" presStyleCnt="7" custScaleY="92805">
        <dgm:presLayoutVars>
          <dgm:bulletEnabled val="1"/>
        </dgm:presLayoutVars>
      </dgm:prSet>
      <dgm:spPr>
        <a:prstGeom prst="roundRect">
          <a:avLst/>
        </a:prstGeom>
      </dgm:spPr>
    </dgm:pt>
  </dgm:ptLst>
  <dgm:cxnLst>
    <dgm:cxn modelId="{F7E10F02-DA45-4399-B590-ABE8049B9B66}" srcId="{074F5F59-0629-4C17-A002-32A8FEBF23B6}" destId="{CCB44C10-8484-49B5-9D63-F8C42A34F805}" srcOrd="1" destOrd="0" parTransId="{E75A36B1-9B85-4D71-94A6-9C7BF1DB83AF}" sibTransId="{2006DA99-A2CD-4969-B108-6C2C59B35EB5}"/>
    <dgm:cxn modelId="{38746F03-C6A9-46EA-AB47-4850EB6933CB}" srcId="{FDA0AB67-BCCF-4A0E-AF5E-FB1568A34CF8}" destId="{190B9E62-EAE9-4D69-B816-7AC0F880251E}" srcOrd="1" destOrd="0" parTransId="{6C86B2D4-01CA-4B0C-88A9-9D9420A88361}" sibTransId="{9501B2D3-1715-4458-B659-0005643D2746}"/>
    <dgm:cxn modelId="{1CFCF506-892D-487F-99CA-E9711BB50D3C}" type="presOf" srcId="{B4223EA0-F374-465A-988B-39F9D85D92BB}" destId="{CFF7251A-48E3-4A5E-9073-9D3283E4685E}" srcOrd="1" destOrd="0" presId="urn:microsoft.com/office/officeart/2005/8/layout/list1"/>
    <dgm:cxn modelId="{0218F809-BADB-47BF-A668-FFA80479BF9F}" type="presOf" srcId="{095D0AC1-B91C-498A-96D4-2FE32E865267}" destId="{B6A52FED-A50C-455F-8138-D21A601346D8}" srcOrd="0" destOrd="1" presId="urn:microsoft.com/office/officeart/2005/8/layout/list1"/>
    <dgm:cxn modelId="{A8F53310-FD93-4D6D-81E9-5637C5E70B5F}" srcId="{92A00790-3DFA-4E6E-BC10-BDA978B40879}" destId="{041F61BF-7B3B-4397-B670-344F6010729E}" srcOrd="0" destOrd="0" parTransId="{2E1989B4-05DF-4D4F-A275-C7D2ADE90B0C}" sibTransId="{690CF9C6-C937-467E-8E2F-619DA26D4169}"/>
    <dgm:cxn modelId="{5D4A1813-EF1B-4108-A4BC-1A20A263DB02}" type="presOf" srcId="{B4223EA0-F374-465A-988B-39F9D85D92BB}" destId="{1206743F-085A-4816-844C-C60841044350}" srcOrd="0" destOrd="0" presId="urn:microsoft.com/office/officeart/2005/8/layout/list1"/>
    <dgm:cxn modelId="{23223419-EEBD-4571-AC4A-116B4869ACCB}" type="presOf" srcId="{183105BE-DA41-498F-B03E-FD77A90383CC}" destId="{78BCC2E0-3957-4F5E-B564-9B3EA0ADB56F}" srcOrd="0" destOrd="0" presId="urn:microsoft.com/office/officeart/2005/8/layout/list1"/>
    <dgm:cxn modelId="{57BEA81D-18E9-492C-8AA9-C253BEE739D4}" srcId="{36FB4A36-E9C9-411A-98C6-F052B50A6EE5}" destId="{18D65B10-0541-469E-A566-FFFF293F0913}" srcOrd="1" destOrd="0" parTransId="{73B31C1B-51AB-4698-ABB3-D29E62535BE1}" sibTransId="{4159D29E-92E2-4E8F-A6BB-1A69F64C6C25}"/>
    <dgm:cxn modelId="{01FA2E22-91A8-487B-8B38-67E097378696}" type="presOf" srcId="{92A00790-3DFA-4E6E-BC10-BDA978B40879}" destId="{0A139DD8-3DF0-4957-952E-B4EE8DBEE640}" srcOrd="0" destOrd="0" presId="urn:microsoft.com/office/officeart/2005/8/layout/list1"/>
    <dgm:cxn modelId="{793AF22D-CDD1-45D0-9571-198E6E1C569A}" srcId="{B4223EA0-F374-465A-988B-39F9D85D92BB}" destId="{D5BD095E-10DC-4E7B-B957-5A0F5D949E72}" srcOrd="1" destOrd="0" parTransId="{CA3D530F-F67F-4610-BE8F-C6F6FDE863D1}" sibTransId="{F290B284-7224-40F2-970D-5695988EAE3B}"/>
    <dgm:cxn modelId="{08BD3635-675E-4584-AB3A-AB791F0FF583}" srcId="{FDA0AB67-BCCF-4A0E-AF5E-FB1568A34CF8}" destId="{183105BE-DA41-498F-B03E-FD77A90383CC}" srcOrd="0" destOrd="0" parTransId="{CC6D3595-8F6F-4A3D-B726-CBBC427658FD}" sibTransId="{843C0F15-D565-4A65-97A8-58E708213DD7}"/>
    <dgm:cxn modelId="{22605336-E5DC-4A2B-B427-24D9493C1CB3}" type="presOf" srcId="{FDA0AB67-BCCF-4A0E-AF5E-FB1568A34CF8}" destId="{EE8F2B1F-2F55-44F8-8ED4-6B4D5BD790A0}" srcOrd="0" destOrd="0" presId="urn:microsoft.com/office/officeart/2005/8/layout/list1"/>
    <dgm:cxn modelId="{3F4C7B3C-0112-49A8-8AF5-D0381F846010}" srcId="{4B3F0A15-1DEB-4185-93B6-EE16AB1BF4B8}" destId="{1BF5AD01-5090-42C6-BBBD-84295ACD538D}" srcOrd="0" destOrd="0" parTransId="{632E0C4A-8035-4A3B-B964-9A51EDD98AC3}" sibTransId="{94C89C27-CB78-47B6-A248-02F63054822D}"/>
    <dgm:cxn modelId="{D69FF23D-A9A8-4045-8A63-99737B80D12A}" type="presOf" srcId="{190B9E62-EAE9-4D69-B816-7AC0F880251E}" destId="{78BCC2E0-3957-4F5E-B564-9B3EA0ADB56F}" srcOrd="0" destOrd="1" presId="urn:microsoft.com/office/officeart/2005/8/layout/list1"/>
    <dgm:cxn modelId="{3FA5AC5F-5A04-4CFA-B881-E8D66BE1750B}" srcId="{36FB4A36-E9C9-411A-98C6-F052B50A6EE5}" destId="{B4223EA0-F374-465A-988B-39F9D85D92BB}" srcOrd="6" destOrd="0" parTransId="{7151A66E-33BD-4C96-8273-C02FA4834330}" sibTransId="{05F8F0A6-FA46-414A-86B4-4BED3DEE3A70}"/>
    <dgm:cxn modelId="{1F1CBE5F-110C-4719-9301-7D4855ABF50C}" type="presOf" srcId="{CD363F13-4C4E-4A07-BE6F-AA7AE79DBF0B}" destId="{F696AFEC-B333-4282-BFEA-6C8CF0D1B162}" srcOrd="0" destOrd="1" presId="urn:microsoft.com/office/officeart/2005/8/layout/list1"/>
    <dgm:cxn modelId="{17092A43-36D8-4F4D-8C67-6F080E46F118}" srcId="{36FB4A36-E9C9-411A-98C6-F052B50A6EE5}" destId="{074F5F59-0629-4C17-A002-32A8FEBF23B6}" srcOrd="2" destOrd="0" parTransId="{EA729D0D-64F1-4A64-B6AC-685323C95660}" sibTransId="{8126839F-1087-4495-BB68-EB154FF604FB}"/>
    <dgm:cxn modelId="{8102D345-AEF5-4E17-938E-3CC4B0861971}" type="presOf" srcId="{6D402FEA-C63C-4E7D-B5CD-1217D9D16F5E}" destId="{4458F318-4BE7-4C09-B25E-52BFB7878ACE}" srcOrd="0" destOrd="1" presId="urn:microsoft.com/office/officeart/2005/8/layout/list1"/>
    <dgm:cxn modelId="{14D73367-B961-422E-BC6B-CA74B2BD19FE}" type="presOf" srcId="{041F61BF-7B3B-4397-B670-344F6010729E}" destId="{4458F318-4BE7-4C09-B25E-52BFB7878ACE}" srcOrd="0" destOrd="0" presId="urn:microsoft.com/office/officeart/2005/8/layout/list1"/>
    <dgm:cxn modelId="{5A04D568-7717-4069-A7C3-9C5F0CD6F1F8}" srcId="{4B3F0A15-1DEB-4185-93B6-EE16AB1BF4B8}" destId="{095D0AC1-B91C-498A-96D4-2FE32E865267}" srcOrd="1" destOrd="0" parTransId="{130DCD0C-439A-413E-9E26-568CAB1A4733}" sibTransId="{C88632EE-1CF1-486F-B9C6-DF591AF3AF66}"/>
    <dgm:cxn modelId="{A0D1074C-34AB-4472-A957-E6DBFC800A81}" type="presOf" srcId="{BCE2399F-31FE-4581-BB04-2BC7971A29FA}" destId="{4458F318-4BE7-4C09-B25E-52BFB7878ACE}" srcOrd="0" destOrd="3" presId="urn:microsoft.com/office/officeart/2005/8/layout/list1"/>
    <dgm:cxn modelId="{57B10671-564E-4D17-ACE2-37880F34BF4E}" srcId="{18D65B10-0541-469E-A566-FFFF293F0913}" destId="{CD363F13-4C4E-4A07-BE6F-AA7AE79DBF0B}" srcOrd="1" destOrd="0" parTransId="{B069EE1D-8642-47EC-9AFE-556922E030ED}" sibTransId="{FEE00A98-BB30-449E-A107-95450D7A8874}"/>
    <dgm:cxn modelId="{19893371-E72E-4CF9-BCF3-C78F04276791}" type="presOf" srcId="{36FB4A36-E9C9-411A-98C6-F052B50A6EE5}" destId="{25259E53-6BF9-45B9-9B1C-BC84C3D8A83A}" srcOrd="0" destOrd="0" presId="urn:microsoft.com/office/officeart/2005/8/layout/list1"/>
    <dgm:cxn modelId="{A1A56E74-F95E-44C5-B3EB-E1D3206C5062}" srcId="{F842C0D3-1FEE-43CF-92FD-7B6540B2289B}" destId="{07B8A37F-0953-4435-9373-73389A16C5D3}" srcOrd="0" destOrd="0" parTransId="{319DAB65-59CE-4B92-91A5-DE4F755D2391}" sibTransId="{1AA4B2B9-A679-4EE6-8C07-1B103C817F85}"/>
    <dgm:cxn modelId="{36DB6256-6228-482D-8F0A-A810C5ACC969}" srcId="{B4223EA0-F374-465A-988B-39F9D85D92BB}" destId="{A8CAF16D-B2F3-4285-9F9C-A26B4E437782}" srcOrd="0" destOrd="0" parTransId="{F27F26FF-7C2B-4532-ADBD-901D97F56755}" sibTransId="{F2A8DE4D-3C08-4FB6-8EBC-0DC0CE7B5F11}"/>
    <dgm:cxn modelId="{846B9D77-5952-4A78-BFC5-86211684DB02}" srcId="{074F5F59-0629-4C17-A002-32A8FEBF23B6}" destId="{0D399A1C-E58E-4463-B549-BD34B6B471F7}" srcOrd="0" destOrd="0" parTransId="{082ECF45-A5BB-42FA-8593-5D92A458C8F4}" sibTransId="{5B05C06C-F215-4806-B1EC-8D75786AD2F9}"/>
    <dgm:cxn modelId="{7379B579-C026-49D7-BD0E-AC2938EE2628}" srcId="{36FB4A36-E9C9-411A-98C6-F052B50A6EE5}" destId="{FDA0AB67-BCCF-4A0E-AF5E-FB1568A34CF8}" srcOrd="5" destOrd="0" parTransId="{2532122A-DC88-4ADB-AC46-F1F55A899308}" sibTransId="{533F2383-7CC8-4BE1-BCCD-D4EEE2231453}"/>
    <dgm:cxn modelId="{32CFB27B-63A9-4587-9482-EE02698E6B6C}" srcId="{92A00790-3DFA-4E6E-BC10-BDA978B40879}" destId="{6D402FEA-C63C-4E7D-B5CD-1217D9D16F5E}" srcOrd="1" destOrd="0" parTransId="{8FEFB342-C940-42B2-9F9B-0C63D1E43BE2}" sibTransId="{9FD4F6FB-3DD3-4604-92A7-BC980AC6F9F9}"/>
    <dgm:cxn modelId="{676FBD7B-29A8-44A9-9914-8337CFBB3262}" type="presOf" srcId="{92A00790-3DFA-4E6E-BC10-BDA978B40879}" destId="{971B44BE-E44E-4022-8567-1BF31102C850}" srcOrd="1" destOrd="0" presId="urn:microsoft.com/office/officeart/2005/8/layout/list1"/>
    <dgm:cxn modelId="{16F0B77C-8072-46E1-AA2D-8FD1FA206DBC}" srcId="{92A00790-3DFA-4E6E-BC10-BDA978B40879}" destId="{9150FDA9-2F77-4BB9-B28A-6E602E87AC97}" srcOrd="2" destOrd="0" parTransId="{0166B149-2F47-43BD-86D8-048B99C13DDE}" sibTransId="{377E61AC-A2A0-447D-B264-CC2DC007225C}"/>
    <dgm:cxn modelId="{46FF0A86-584F-457C-8446-58AC5D2EF79C}" type="presOf" srcId="{9150FDA9-2F77-4BB9-B28A-6E602E87AC97}" destId="{4458F318-4BE7-4C09-B25E-52BFB7878ACE}" srcOrd="0" destOrd="2" presId="urn:microsoft.com/office/officeart/2005/8/layout/list1"/>
    <dgm:cxn modelId="{924F4586-9D8E-4FAA-A727-E63B41A43C79}" srcId="{18D65B10-0541-469E-A566-FFFF293F0913}" destId="{4F74EB52-93B6-4E1E-9DEB-9283C317DF3D}" srcOrd="0" destOrd="0" parTransId="{0E8A06C5-C6D2-4D79-AF07-9A48CD83D867}" sibTransId="{FB2BFFEF-2B78-46B5-9A1D-AAB04B8E4A6A}"/>
    <dgm:cxn modelId="{B4019F89-9536-4C86-A2B6-54CB699F7DD2}" type="presOf" srcId="{4F74EB52-93B6-4E1E-9DEB-9283C317DF3D}" destId="{F696AFEC-B333-4282-BFEA-6C8CF0D1B162}" srcOrd="0" destOrd="0" presId="urn:microsoft.com/office/officeart/2005/8/layout/list1"/>
    <dgm:cxn modelId="{1B9F449A-0E40-478E-9418-D9A28C503D51}" srcId="{36FB4A36-E9C9-411A-98C6-F052B50A6EE5}" destId="{F842C0D3-1FEE-43CF-92FD-7B6540B2289B}" srcOrd="0" destOrd="0" parTransId="{155B8187-FB3C-443E-96AE-ECD8AA9B5028}" sibTransId="{AF5A4BAE-11C4-4B71-A952-DE7AD20A7D3D}"/>
    <dgm:cxn modelId="{E8C2F9A1-B1F6-41F1-A95C-BA15858B7030}" srcId="{36FB4A36-E9C9-411A-98C6-F052B50A6EE5}" destId="{4B3F0A15-1DEB-4185-93B6-EE16AB1BF4B8}" srcOrd="3" destOrd="0" parTransId="{07BAC280-92F1-4A57-A13F-1602EE1D1C00}" sibTransId="{FF58AA89-99F2-431B-B640-036822104D50}"/>
    <dgm:cxn modelId="{12352FA8-3538-4204-8AF4-325CB45DCAEE}" srcId="{36FB4A36-E9C9-411A-98C6-F052B50A6EE5}" destId="{92A00790-3DFA-4E6E-BC10-BDA978B40879}" srcOrd="4" destOrd="0" parTransId="{13CDDFCB-0CEB-4930-B756-22586CF79C5F}" sibTransId="{4334B1E6-1464-47C4-874E-BE1350ED802E}"/>
    <dgm:cxn modelId="{72559EAA-FBCE-4F87-9EF8-67B3B2852C5C}" type="presOf" srcId="{074F5F59-0629-4C17-A002-32A8FEBF23B6}" destId="{BBE06E77-91F4-457D-85B8-CA22B2CEDDC2}" srcOrd="0" destOrd="0" presId="urn:microsoft.com/office/officeart/2005/8/layout/list1"/>
    <dgm:cxn modelId="{8FE070B1-016C-4EB7-94F2-949844CAF845}" type="presOf" srcId="{D5BD095E-10DC-4E7B-B957-5A0F5D949E72}" destId="{728DACDB-3CC3-454A-9AD6-5D5CF970331D}" srcOrd="0" destOrd="1" presId="urn:microsoft.com/office/officeart/2005/8/layout/list1"/>
    <dgm:cxn modelId="{A68046B9-44F0-4D6D-963E-6FBD39650AB3}" type="presOf" srcId="{F842C0D3-1FEE-43CF-92FD-7B6540B2289B}" destId="{C5334FA4-E4E8-4480-9609-7791FBBC1674}" srcOrd="1" destOrd="0" presId="urn:microsoft.com/office/officeart/2005/8/layout/list1"/>
    <dgm:cxn modelId="{247C04C9-C6F1-408A-851B-860585EB6228}" type="presOf" srcId="{1BF5AD01-5090-42C6-BBBD-84295ACD538D}" destId="{B6A52FED-A50C-455F-8138-D21A601346D8}" srcOrd="0" destOrd="0" presId="urn:microsoft.com/office/officeart/2005/8/layout/list1"/>
    <dgm:cxn modelId="{789A9ECB-7106-4F64-92D6-B6DCF5DDCD59}" type="presOf" srcId="{07B8A37F-0953-4435-9373-73389A16C5D3}" destId="{B83FCAB9-EBEC-48D9-AB2C-C6AFCD1E6B8E}" srcOrd="0" destOrd="0" presId="urn:microsoft.com/office/officeart/2005/8/layout/list1"/>
    <dgm:cxn modelId="{EEC180CD-BB18-44CD-8D76-A5923FCB6C36}" srcId="{074F5F59-0629-4C17-A002-32A8FEBF23B6}" destId="{F9083E11-4F71-4BBD-9780-F0DC4A6332F0}" srcOrd="2" destOrd="0" parTransId="{9AFB5AFF-07CA-4691-8F15-DEF8F3D2A581}" sibTransId="{7352A9BC-DDDB-46C3-BB74-0C96690F288D}"/>
    <dgm:cxn modelId="{736292CF-2333-4D50-9CE4-24D7579795A9}" type="presOf" srcId="{074F5F59-0629-4C17-A002-32A8FEBF23B6}" destId="{6740D588-A1FC-40CF-9D13-1578E3488064}" srcOrd="1" destOrd="0" presId="urn:microsoft.com/office/officeart/2005/8/layout/list1"/>
    <dgm:cxn modelId="{9D9AEAD4-E9FB-463A-A25B-930CE6890C9A}" type="presOf" srcId="{F842C0D3-1FEE-43CF-92FD-7B6540B2289B}" destId="{CCE02E43-1588-42D1-B70D-DB6E0BBE110A}" srcOrd="0" destOrd="0" presId="urn:microsoft.com/office/officeart/2005/8/layout/list1"/>
    <dgm:cxn modelId="{65806DDB-60EE-41AA-A1A1-6AEE8A8F3535}" type="presOf" srcId="{4B3F0A15-1DEB-4185-93B6-EE16AB1BF4B8}" destId="{12AA65EA-BB30-48AB-BA85-950222336B25}" srcOrd="0" destOrd="0" presId="urn:microsoft.com/office/officeart/2005/8/layout/list1"/>
    <dgm:cxn modelId="{0BF466E4-5AB2-47ED-90C6-FCA6DE34E429}" type="presOf" srcId="{F9083E11-4F71-4BBD-9780-F0DC4A6332F0}" destId="{284A29C9-C546-4F3D-8AD6-42D9476EB620}" srcOrd="0" destOrd="2" presId="urn:microsoft.com/office/officeart/2005/8/layout/list1"/>
    <dgm:cxn modelId="{DA3040E7-B800-412B-A7B1-09A1E22783A6}" type="presOf" srcId="{18D65B10-0541-469E-A566-FFFF293F0913}" destId="{E6F9C73F-9A71-4BD6-BAA2-D97C3D80C5E5}" srcOrd="1" destOrd="0" presId="urn:microsoft.com/office/officeart/2005/8/layout/list1"/>
    <dgm:cxn modelId="{717C0EF4-C1E8-4EC1-8335-19DDACC95D8F}" type="presOf" srcId="{FDA0AB67-BCCF-4A0E-AF5E-FB1568A34CF8}" destId="{6893759E-6629-489E-80C8-992D30467335}" srcOrd="1" destOrd="0" presId="urn:microsoft.com/office/officeart/2005/8/layout/list1"/>
    <dgm:cxn modelId="{284C10F4-7CA7-4715-8EAA-FACABF40D977}" type="presOf" srcId="{18D65B10-0541-469E-A566-FFFF293F0913}" destId="{4DE46C19-1B06-4F72-8575-CB952CC4F2B3}" srcOrd="0" destOrd="0" presId="urn:microsoft.com/office/officeart/2005/8/layout/list1"/>
    <dgm:cxn modelId="{0A9B46F7-47C1-416A-8D90-57DEF3036C7E}" type="presOf" srcId="{CCB44C10-8484-49B5-9D63-F8C42A34F805}" destId="{284A29C9-C546-4F3D-8AD6-42D9476EB620}" srcOrd="0" destOrd="1" presId="urn:microsoft.com/office/officeart/2005/8/layout/list1"/>
    <dgm:cxn modelId="{960528FB-076A-475F-AFFD-5B5E8AF436FA}" type="presOf" srcId="{4B3F0A15-1DEB-4185-93B6-EE16AB1BF4B8}" destId="{B3D6AE2B-6188-4039-A24E-BBEA54C42128}" srcOrd="1" destOrd="0" presId="urn:microsoft.com/office/officeart/2005/8/layout/list1"/>
    <dgm:cxn modelId="{F6FADAFB-8DE9-4411-9253-2D06E7883CB5}" type="presOf" srcId="{A8CAF16D-B2F3-4285-9F9C-A26B4E437782}" destId="{728DACDB-3CC3-454A-9AD6-5D5CF970331D}" srcOrd="0" destOrd="0" presId="urn:microsoft.com/office/officeart/2005/8/layout/list1"/>
    <dgm:cxn modelId="{CEBB5DFD-C8CE-429A-80BC-D9CE03A0196A}" type="presOf" srcId="{0D399A1C-E58E-4463-B549-BD34B6B471F7}" destId="{284A29C9-C546-4F3D-8AD6-42D9476EB620}" srcOrd="0" destOrd="0" presId="urn:microsoft.com/office/officeart/2005/8/layout/list1"/>
    <dgm:cxn modelId="{33278FFF-AA74-48E4-BA6D-B9AFBD8972AA}" srcId="{92A00790-3DFA-4E6E-BC10-BDA978B40879}" destId="{BCE2399F-31FE-4581-BB04-2BC7971A29FA}" srcOrd="3" destOrd="0" parTransId="{5BDF5EC1-430B-4386-A97C-556D59DB2D1E}" sibTransId="{076377FC-2A86-4C3B-AE8A-404FB0FE210B}"/>
    <dgm:cxn modelId="{B326BB39-FE9A-4F8D-95F1-3B6AE6997C91}" type="presParOf" srcId="{25259E53-6BF9-45B9-9B1C-BC84C3D8A83A}" destId="{B654DDF1-4D7F-42A4-BCB9-1C797A862A3B}" srcOrd="0" destOrd="0" presId="urn:microsoft.com/office/officeart/2005/8/layout/list1"/>
    <dgm:cxn modelId="{D821F42E-E0D9-4691-93C6-743827DF3DAA}" type="presParOf" srcId="{B654DDF1-4D7F-42A4-BCB9-1C797A862A3B}" destId="{CCE02E43-1588-42D1-B70D-DB6E0BBE110A}" srcOrd="0" destOrd="0" presId="urn:microsoft.com/office/officeart/2005/8/layout/list1"/>
    <dgm:cxn modelId="{DD9176A5-6A1D-4B5A-9AC5-B7D771F3F0D6}" type="presParOf" srcId="{B654DDF1-4D7F-42A4-BCB9-1C797A862A3B}" destId="{C5334FA4-E4E8-4480-9609-7791FBBC1674}" srcOrd="1" destOrd="0" presId="urn:microsoft.com/office/officeart/2005/8/layout/list1"/>
    <dgm:cxn modelId="{C8A890FB-1154-4DBE-85F7-4AF176ECB021}" type="presParOf" srcId="{25259E53-6BF9-45B9-9B1C-BC84C3D8A83A}" destId="{B10E1BE0-19FD-4631-B8BD-69F54331AD15}" srcOrd="1" destOrd="0" presId="urn:microsoft.com/office/officeart/2005/8/layout/list1"/>
    <dgm:cxn modelId="{B89EB3DF-77BA-4BFF-BAF5-1D91A0791EB2}" type="presParOf" srcId="{25259E53-6BF9-45B9-9B1C-BC84C3D8A83A}" destId="{B83FCAB9-EBEC-48D9-AB2C-C6AFCD1E6B8E}" srcOrd="2" destOrd="0" presId="urn:microsoft.com/office/officeart/2005/8/layout/list1"/>
    <dgm:cxn modelId="{2AD70D41-3B4B-4E07-B302-3C1BD0561E3A}" type="presParOf" srcId="{25259E53-6BF9-45B9-9B1C-BC84C3D8A83A}" destId="{662B90C0-3E08-4F7C-BCC5-879C534A9062}" srcOrd="3" destOrd="0" presId="urn:microsoft.com/office/officeart/2005/8/layout/list1"/>
    <dgm:cxn modelId="{03E5D514-C17C-4787-B726-32AFD14BC1BC}" type="presParOf" srcId="{25259E53-6BF9-45B9-9B1C-BC84C3D8A83A}" destId="{5A5EF130-0367-4021-90A2-055314440987}" srcOrd="4" destOrd="0" presId="urn:microsoft.com/office/officeart/2005/8/layout/list1"/>
    <dgm:cxn modelId="{07E56F02-ABA2-406E-A417-71F60872B088}" type="presParOf" srcId="{5A5EF130-0367-4021-90A2-055314440987}" destId="{4DE46C19-1B06-4F72-8575-CB952CC4F2B3}" srcOrd="0" destOrd="0" presId="urn:microsoft.com/office/officeart/2005/8/layout/list1"/>
    <dgm:cxn modelId="{C3573325-EDB2-401D-8453-9F17D57AA33D}" type="presParOf" srcId="{5A5EF130-0367-4021-90A2-055314440987}" destId="{E6F9C73F-9A71-4BD6-BAA2-D97C3D80C5E5}" srcOrd="1" destOrd="0" presId="urn:microsoft.com/office/officeart/2005/8/layout/list1"/>
    <dgm:cxn modelId="{8C4B92DE-0929-45A3-BCB9-6321A333A660}" type="presParOf" srcId="{25259E53-6BF9-45B9-9B1C-BC84C3D8A83A}" destId="{221F41B3-4048-461A-B5A9-BBA49675F13F}" srcOrd="5" destOrd="0" presId="urn:microsoft.com/office/officeart/2005/8/layout/list1"/>
    <dgm:cxn modelId="{784E0A1E-CFD3-4018-8927-0AEFA27371B3}" type="presParOf" srcId="{25259E53-6BF9-45B9-9B1C-BC84C3D8A83A}" destId="{F696AFEC-B333-4282-BFEA-6C8CF0D1B162}" srcOrd="6" destOrd="0" presId="urn:microsoft.com/office/officeart/2005/8/layout/list1"/>
    <dgm:cxn modelId="{BF6AF558-CF5D-45E2-810E-E7F9340154C5}" type="presParOf" srcId="{25259E53-6BF9-45B9-9B1C-BC84C3D8A83A}" destId="{A0D6BE71-623E-4D96-9795-252C049EDD02}" srcOrd="7" destOrd="0" presId="urn:microsoft.com/office/officeart/2005/8/layout/list1"/>
    <dgm:cxn modelId="{8E44128C-069E-4B73-BF41-C6B110FADB1E}" type="presParOf" srcId="{25259E53-6BF9-45B9-9B1C-BC84C3D8A83A}" destId="{7BE3202F-62D2-4367-BB5C-F779D889BFFD}" srcOrd="8" destOrd="0" presId="urn:microsoft.com/office/officeart/2005/8/layout/list1"/>
    <dgm:cxn modelId="{E8BFED0A-CC22-478B-BBA0-33DBA4C698BD}" type="presParOf" srcId="{7BE3202F-62D2-4367-BB5C-F779D889BFFD}" destId="{BBE06E77-91F4-457D-85B8-CA22B2CEDDC2}" srcOrd="0" destOrd="0" presId="urn:microsoft.com/office/officeart/2005/8/layout/list1"/>
    <dgm:cxn modelId="{D508D6B5-2EE1-49E6-8505-73CF8C3D5BEC}" type="presParOf" srcId="{7BE3202F-62D2-4367-BB5C-F779D889BFFD}" destId="{6740D588-A1FC-40CF-9D13-1578E3488064}" srcOrd="1" destOrd="0" presId="urn:microsoft.com/office/officeart/2005/8/layout/list1"/>
    <dgm:cxn modelId="{92632BEA-CBB4-43F7-834A-C6FC0A5B43BA}" type="presParOf" srcId="{25259E53-6BF9-45B9-9B1C-BC84C3D8A83A}" destId="{1CD691F0-601C-4C6F-A48C-6F9F51DBF109}" srcOrd="9" destOrd="0" presId="urn:microsoft.com/office/officeart/2005/8/layout/list1"/>
    <dgm:cxn modelId="{3FCEE283-2442-4D4A-8862-09EDE11C8E45}" type="presParOf" srcId="{25259E53-6BF9-45B9-9B1C-BC84C3D8A83A}" destId="{284A29C9-C546-4F3D-8AD6-42D9476EB620}" srcOrd="10" destOrd="0" presId="urn:microsoft.com/office/officeart/2005/8/layout/list1"/>
    <dgm:cxn modelId="{3BC24DE7-1620-46B3-A358-E2281F6A3EBC}" type="presParOf" srcId="{25259E53-6BF9-45B9-9B1C-BC84C3D8A83A}" destId="{A30E5078-FC99-42CE-BB3D-E8A43DE9BE12}" srcOrd="11" destOrd="0" presId="urn:microsoft.com/office/officeart/2005/8/layout/list1"/>
    <dgm:cxn modelId="{F6872E5C-6CFA-420A-987C-A13DCE09780C}" type="presParOf" srcId="{25259E53-6BF9-45B9-9B1C-BC84C3D8A83A}" destId="{3B144939-F4E4-436F-B0A2-0412BCF7F90A}" srcOrd="12" destOrd="0" presId="urn:microsoft.com/office/officeart/2005/8/layout/list1"/>
    <dgm:cxn modelId="{B7702E20-6AB8-46DD-808B-C68524EC6088}" type="presParOf" srcId="{3B144939-F4E4-436F-B0A2-0412BCF7F90A}" destId="{12AA65EA-BB30-48AB-BA85-950222336B25}" srcOrd="0" destOrd="0" presId="urn:microsoft.com/office/officeart/2005/8/layout/list1"/>
    <dgm:cxn modelId="{5E67B841-D3C6-4B09-9D62-2C8B8A520774}" type="presParOf" srcId="{3B144939-F4E4-436F-B0A2-0412BCF7F90A}" destId="{B3D6AE2B-6188-4039-A24E-BBEA54C42128}" srcOrd="1" destOrd="0" presId="urn:microsoft.com/office/officeart/2005/8/layout/list1"/>
    <dgm:cxn modelId="{9E69CEFE-922C-4B2A-A92C-33BC1A4F57C3}" type="presParOf" srcId="{25259E53-6BF9-45B9-9B1C-BC84C3D8A83A}" destId="{08043CDE-FDFD-4EE2-B1E1-3BED171BFFB8}" srcOrd="13" destOrd="0" presId="urn:microsoft.com/office/officeart/2005/8/layout/list1"/>
    <dgm:cxn modelId="{A209CC64-EC5E-44F9-884B-F4E075A60165}" type="presParOf" srcId="{25259E53-6BF9-45B9-9B1C-BC84C3D8A83A}" destId="{B6A52FED-A50C-455F-8138-D21A601346D8}" srcOrd="14" destOrd="0" presId="urn:microsoft.com/office/officeart/2005/8/layout/list1"/>
    <dgm:cxn modelId="{BDDD6C7D-88F7-4920-B08F-B7A51DB395D1}" type="presParOf" srcId="{25259E53-6BF9-45B9-9B1C-BC84C3D8A83A}" destId="{DADC793B-0A50-42D7-BA0C-C31149FE9674}" srcOrd="15" destOrd="0" presId="urn:microsoft.com/office/officeart/2005/8/layout/list1"/>
    <dgm:cxn modelId="{71238FC9-9658-47EE-8F44-706901B48861}" type="presParOf" srcId="{25259E53-6BF9-45B9-9B1C-BC84C3D8A83A}" destId="{731E547D-0CE7-4402-881D-5462C7C8A173}" srcOrd="16" destOrd="0" presId="urn:microsoft.com/office/officeart/2005/8/layout/list1"/>
    <dgm:cxn modelId="{C5C429DE-552E-4A32-87CB-E0B2D203FFAE}" type="presParOf" srcId="{731E547D-0CE7-4402-881D-5462C7C8A173}" destId="{0A139DD8-3DF0-4957-952E-B4EE8DBEE640}" srcOrd="0" destOrd="0" presId="urn:microsoft.com/office/officeart/2005/8/layout/list1"/>
    <dgm:cxn modelId="{62DE08C8-758D-4CD3-A9C4-753EC0391B08}" type="presParOf" srcId="{731E547D-0CE7-4402-881D-5462C7C8A173}" destId="{971B44BE-E44E-4022-8567-1BF31102C850}" srcOrd="1" destOrd="0" presId="urn:microsoft.com/office/officeart/2005/8/layout/list1"/>
    <dgm:cxn modelId="{E3B73099-1344-4B2B-B14E-C43117FEB7A0}" type="presParOf" srcId="{25259E53-6BF9-45B9-9B1C-BC84C3D8A83A}" destId="{65499A02-237F-4797-BC74-586F999670C2}" srcOrd="17" destOrd="0" presId="urn:microsoft.com/office/officeart/2005/8/layout/list1"/>
    <dgm:cxn modelId="{FB7543A6-864D-414C-ADA0-EB13B886EE6D}" type="presParOf" srcId="{25259E53-6BF9-45B9-9B1C-BC84C3D8A83A}" destId="{4458F318-4BE7-4C09-B25E-52BFB7878ACE}" srcOrd="18" destOrd="0" presId="urn:microsoft.com/office/officeart/2005/8/layout/list1"/>
    <dgm:cxn modelId="{EC1D853A-5468-4ED1-B799-3846E9DCD53B}" type="presParOf" srcId="{25259E53-6BF9-45B9-9B1C-BC84C3D8A83A}" destId="{4A6D5DFB-6023-4A83-8B5C-B7E578039EBE}" srcOrd="19" destOrd="0" presId="urn:microsoft.com/office/officeart/2005/8/layout/list1"/>
    <dgm:cxn modelId="{6ACF020B-94E9-4647-88D2-2B3EF3A48960}" type="presParOf" srcId="{25259E53-6BF9-45B9-9B1C-BC84C3D8A83A}" destId="{5F999893-D022-4140-BE7D-CC167D11E04C}" srcOrd="20" destOrd="0" presId="urn:microsoft.com/office/officeart/2005/8/layout/list1"/>
    <dgm:cxn modelId="{69249528-8743-4131-AAF6-34E8F77E91E8}" type="presParOf" srcId="{5F999893-D022-4140-BE7D-CC167D11E04C}" destId="{EE8F2B1F-2F55-44F8-8ED4-6B4D5BD790A0}" srcOrd="0" destOrd="0" presId="urn:microsoft.com/office/officeart/2005/8/layout/list1"/>
    <dgm:cxn modelId="{66546EA9-736B-43A3-9390-4645DBF114A5}" type="presParOf" srcId="{5F999893-D022-4140-BE7D-CC167D11E04C}" destId="{6893759E-6629-489E-80C8-992D30467335}" srcOrd="1" destOrd="0" presId="urn:microsoft.com/office/officeart/2005/8/layout/list1"/>
    <dgm:cxn modelId="{E356E9F5-FB27-4AF1-A547-033F7588F35D}" type="presParOf" srcId="{25259E53-6BF9-45B9-9B1C-BC84C3D8A83A}" destId="{3A65CE9A-672F-4115-8E7F-BB9A1C3883D7}" srcOrd="21" destOrd="0" presId="urn:microsoft.com/office/officeart/2005/8/layout/list1"/>
    <dgm:cxn modelId="{1FFB020E-FC96-4F64-B590-F7484BA28894}" type="presParOf" srcId="{25259E53-6BF9-45B9-9B1C-BC84C3D8A83A}" destId="{78BCC2E0-3957-4F5E-B564-9B3EA0ADB56F}" srcOrd="22" destOrd="0" presId="urn:microsoft.com/office/officeart/2005/8/layout/list1"/>
    <dgm:cxn modelId="{C59D5CD3-1BEC-4C17-B50C-3D7C28D393FF}" type="presParOf" srcId="{25259E53-6BF9-45B9-9B1C-BC84C3D8A83A}" destId="{4707652B-E8C2-4979-8DE6-1AAA5768C355}" srcOrd="23" destOrd="0" presId="urn:microsoft.com/office/officeart/2005/8/layout/list1"/>
    <dgm:cxn modelId="{23DDA818-DDDA-426E-BA55-8DE99EDF23BE}" type="presParOf" srcId="{25259E53-6BF9-45B9-9B1C-BC84C3D8A83A}" destId="{52F15177-AA2E-4DDE-BBAB-E34464E9644D}" srcOrd="24" destOrd="0" presId="urn:microsoft.com/office/officeart/2005/8/layout/list1"/>
    <dgm:cxn modelId="{8583CEA4-18E4-4C83-8E67-DFB4E8F4ABB3}" type="presParOf" srcId="{52F15177-AA2E-4DDE-BBAB-E34464E9644D}" destId="{1206743F-085A-4816-844C-C60841044350}" srcOrd="0" destOrd="0" presId="urn:microsoft.com/office/officeart/2005/8/layout/list1"/>
    <dgm:cxn modelId="{1DEC34C3-41B5-4A18-B996-3EC20255FBE4}" type="presParOf" srcId="{52F15177-AA2E-4DDE-BBAB-E34464E9644D}" destId="{CFF7251A-48E3-4A5E-9073-9D3283E4685E}" srcOrd="1" destOrd="0" presId="urn:microsoft.com/office/officeart/2005/8/layout/list1"/>
    <dgm:cxn modelId="{9349E986-5B3B-4132-8A88-A1A434BAC236}" type="presParOf" srcId="{25259E53-6BF9-45B9-9B1C-BC84C3D8A83A}" destId="{842F2109-C618-41AA-B8A3-DF6E49C56C1D}" srcOrd="25" destOrd="0" presId="urn:microsoft.com/office/officeart/2005/8/layout/list1"/>
    <dgm:cxn modelId="{E7C7C5D6-A7C9-44DE-8017-43A206A3B3BF}" type="presParOf" srcId="{25259E53-6BF9-45B9-9B1C-BC84C3D8A83A}" destId="{728DACDB-3CC3-454A-9AD6-5D5CF970331D}" srcOrd="26" destOrd="0" presId="urn:microsoft.com/office/officeart/2005/8/layout/list1"/>
  </dgm:cxnLst>
  <dgm:bg/>
  <dgm:whole/>
  <dgm:extLst>
    <a:ext uri="http://schemas.microsoft.com/office/drawing/2008/diagram">
      <dsp:dataModelExt xmlns:dsp="http://schemas.microsoft.com/office/drawing/2008/diagram" relId="rId11"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35221A75-EC9D-466F-BA6E-DAD2A6189829}" type="doc">
      <dgm:prSet loTypeId="urn:microsoft.com/office/officeart/2005/8/layout/radial3" loCatId="cycle" qsTypeId="urn:microsoft.com/office/officeart/2005/8/quickstyle/simple1" qsCatId="simple" csTypeId="urn:microsoft.com/office/officeart/2005/8/colors/accent1_2" csCatId="accent1" phldr="1"/>
      <dgm:spPr/>
      <dgm:t>
        <a:bodyPr/>
        <a:lstStyle/>
        <a:p>
          <a:endParaRPr lang="en-US"/>
        </a:p>
      </dgm:t>
    </dgm:pt>
    <dgm:pt modelId="{149B21FB-EF86-47ED-B21B-CCFFA7BE0744}">
      <dgm:prSet phldrT="[Text]"/>
      <dgm:spPr>
        <a:solidFill>
          <a:srgbClr val="76923C">
            <a:alpha val="50000"/>
          </a:srgbClr>
        </a:solidFill>
        <a:ln>
          <a:noFill/>
        </a:ln>
        <a:effectLst/>
      </dgm:spPr>
      <dgm:t>
        <a:bodyPr/>
        <a:lstStyle/>
        <a:p>
          <a:r>
            <a:rPr lang="en-US">
              <a:solidFill>
                <a:schemeClr val="bg1"/>
              </a:solidFill>
            </a:rPr>
            <a:t>LOTUS Small   Buildings</a:t>
          </a:r>
        </a:p>
      </dgm:t>
    </dgm:pt>
    <dgm:pt modelId="{C3F09DB2-8AD6-4BDD-B381-DFA3DDFE24AD}" type="parTrans" cxnId="{C9802C0D-8388-4890-86DC-DFC11AC53D36}">
      <dgm:prSet/>
      <dgm:spPr/>
      <dgm:t>
        <a:bodyPr/>
        <a:lstStyle/>
        <a:p>
          <a:endParaRPr lang="en-US"/>
        </a:p>
      </dgm:t>
    </dgm:pt>
    <dgm:pt modelId="{89CDCAF7-F7A9-4F6B-89D4-CCF2671B41E5}" type="sibTrans" cxnId="{C9802C0D-8388-4890-86DC-DFC11AC53D36}">
      <dgm:prSet/>
      <dgm:spPr/>
      <dgm:t>
        <a:bodyPr/>
        <a:lstStyle/>
        <a:p>
          <a:endParaRPr lang="en-US"/>
        </a:p>
      </dgm:t>
    </dgm:pt>
    <dgm:pt modelId="{50E4CA71-B841-4954-9F06-FE7CA4028100}">
      <dgm:prSet phldrT="[Text]" custT="1"/>
      <dgm:spPr>
        <a:solidFill>
          <a:srgbClr val="58AB27">
            <a:alpha val="50000"/>
          </a:srgbClr>
        </a:solidFill>
      </dgm:spPr>
      <dgm:t>
        <a:bodyPr/>
        <a:lstStyle/>
        <a:p>
          <a:endParaRPr lang="en-US" sz="1500"/>
        </a:p>
      </dgm:t>
      <dgm:extLst>
        <a:ext uri="{E40237B7-FDA0-4F09-8148-C483321AD2D9}">
          <dgm14:cNvPr xmlns:dgm14="http://schemas.microsoft.com/office/drawing/2010/diagram" id="0" name="">
            <a:hlinkClick xmlns:r="http://schemas.openxmlformats.org/officeDocument/2006/relationships" r:id="" tooltip="W-1 Water Efficient Fixtures"/>
          </dgm14:cNvPr>
        </a:ext>
      </dgm:extLst>
    </dgm:pt>
    <dgm:pt modelId="{3EC2F745-5831-456C-8E93-C3E5334D9D6E}" type="parTrans" cxnId="{7A1A2F60-BE72-48DA-8F0F-0D059917C303}">
      <dgm:prSet/>
      <dgm:spPr/>
      <dgm:t>
        <a:bodyPr/>
        <a:lstStyle/>
        <a:p>
          <a:endParaRPr lang="en-US"/>
        </a:p>
      </dgm:t>
    </dgm:pt>
    <dgm:pt modelId="{B7F51FFE-F47D-4F88-B69F-B77D717D907E}" type="sibTrans" cxnId="{7A1A2F60-BE72-48DA-8F0F-0D059917C303}">
      <dgm:prSet/>
      <dgm:spPr/>
      <dgm:t>
        <a:bodyPr/>
        <a:lstStyle/>
        <a:p>
          <a:endParaRPr lang="en-US"/>
        </a:p>
      </dgm:t>
    </dgm:pt>
    <dgm:pt modelId="{5643BFC8-91C2-426E-8189-F6FE054FA97F}">
      <dgm:prSet phldrT="[Text]" custT="1"/>
      <dgm:spPr>
        <a:solidFill>
          <a:srgbClr val="0070C0">
            <a:alpha val="50000"/>
          </a:srgbClr>
        </a:solidFill>
      </dgm:spPr>
      <dgm:t>
        <a:bodyPr/>
        <a:lstStyle/>
        <a:p>
          <a:endParaRPr lang="en-US" sz="1800">
            <a:solidFill>
              <a:schemeClr val="bg1"/>
            </a:solidFill>
          </a:endParaRPr>
        </a:p>
      </dgm:t>
    </dgm:pt>
    <dgm:pt modelId="{58DF9915-A4BD-4AC5-86F6-65AE99C99B59}" type="parTrans" cxnId="{6CE76116-900D-4DAF-9D21-A82F9B3546C1}">
      <dgm:prSet/>
      <dgm:spPr/>
      <dgm:t>
        <a:bodyPr/>
        <a:lstStyle/>
        <a:p>
          <a:endParaRPr lang="en-US"/>
        </a:p>
      </dgm:t>
    </dgm:pt>
    <dgm:pt modelId="{771EA7E4-6217-4DF1-B50E-E8DBECEAA600}" type="sibTrans" cxnId="{6CE76116-900D-4DAF-9D21-A82F9B3546C1}">
      <dgm:prSet/>
      <dgm:spPr/>
      <dgm:t>
        <a:bodyPr/>
        <a:lstStyle/>
        <a:p>
          <a:endParaRPr lang="en-US"/>
        </a:p>
      </dgm:t>
    </dgm:pt>
    <dgm:pt modelId="{100CD882-2B0A-43AA-B25F-80DB1D8DC999}">
      <dgm:prSet phldrT="[Text]"/>
      <dgm:spPr>
        <a:solidFill>
          <a:srgbClr val="76923C">
            <a:alpha val="50000"/>
          </a:srgbClr>
        </a:solidFill>
      </dgm:spPr>
      <dgm:t>
        <a:bodyPr/>
        <a:lstStyle/>
        <a:p>
          <a:endParaRPr lang="en-US">
            <a:solidFill>
              <a:schemeClr val="bg1"/>
            </a:solidFill>
          </a:endParaRPr>
        </a:p>
      </dgm:t>
    </dgm:pt>
    <dgm:pt modelId="{4DE6C14E-B84C-4EF9-988B-350B3383B224}" type="parTrans" cxnId="{39611E87-3A70-41AA-B3B2-565CD125B7F3}">
      <dgm:prSet/>
      <dgm:spPr/>
      <dgm:t>
        <a:bodyPr/>
        <a:lstStyle/>
        <a:p>
          <a:endParaRPr lang="en-US"/>
        </a:p>
      </dgm:t>
    </dgm:pt>
    <dgm:pt modelId="{2DCEC550-A957-438A-A2F0-6F7940415025}" type="sibTrans" cxnId="{39611E87-3A70-41AA-B3B2-565CD125B7F3}">
      <dgm:prSet/>
      <dgm:spPr/>
      <dgm:t>
        <a:bodyPr/>
        <a:lstStyle/>
        <a:p>
          <a:endParaRPr lang="en-US"/>
        </a:p>
      </dgm:t>
    </dgm:pt>
    <dgm:pt modelId="{62A20723-55AC-4206-A898-BC5EE125B0DF}">
      <dgm:prSet phldrT="[Text]"/>
      <dgm:spPr>
        <a:solidFill>
          <a:srgbClr val="5F4970">
            <a:alpha val="50000"/>
          </a:srgbClr>
        </a:solidFill>
      </dgm:spPr>
      <dgm:t>
        <a:bodyPr/>
        <a:lstStyle/>
        <a:p>
          <a:endParaRPr lang="en-US">
            <a:solidFill>
              <a:schemeClr val="bg1"/>
            </a:solidFill>
          </a:endParaRPr>
        </a:p>
      </dgm:t>
    </dgm:pt>
    <dgm:pt modelId="{1750E2E1-F394-42B2-AA80-C85E45F5BA81}" type="parTrans" cxnId="{3B076345-42CC-4778-8B72-24F951191C7A}">
      <dgm:prSet/>
      <dgm:spPr/>
      <dgm:t>
        <a:bodyPr/>
        <a:lstStyle/>
        <a:p>
          <a:endParaRPr lang="en-US"/>
        </a:p>
      </dgm:t>
    </dgm:pt>
    <dgm:pt modelId="{140EE13C-4FD2-4276-91C9-B78BC7CB341B}" type="sibTrans" cxnId="{3B076345-42CC-4778-8B72-24F951191C7A}">
      <dgm:prSet/>
      <dgm:spPr/>
      <dgm:t>
        <a:bodyPr/>
        <a:lstStyle/>
        <a:p>
          <a:endParaRPr lang="en-US"/>
        </a:p>
      </dgm:t>
    </dgm:pt>
    <dgm:pt modelId="{34C894B0-B20C-413D-91C8-F504EA24124E}">
      <dgm:prSet phldrT="[Text]"/>
      <dgm:spPr>
        <a:solidFill>
          <a:srgbClr val="943634">
            <a:alpha val="50000"/>
          </a:srgbClr>
        </a:solidFill>
      </dgm:spPr>
      <dgm:t>
        <a:bodyPr/>
        <a:lstStyle/>
        <a:p>
          <a:endParaRPr lang="en-US">
            <a:solidFill>
              <a:schemeClr val="bg1"/>
            </a:solidFill>
          </a:endParaRPr>
        </a:p>
      </dgm:t>
    </dgm:pt>
    <dgm:pt modelId="{D6259F8A-0FF6-4918-A4D9-2F6B6F316B69}" type="parTrans" cxnId="{0A14E3EC-F6E4-43D3-8B63-8D64A1C9BA6B}">
      <dgm:prSet/>
      <dgm:spPr/>
      <dgm:t>
        <a:bodyPr/>
        <a:lstStyle/>
        <a:p>
          <a:endParaRPr lang="en-US"/>
        </a:p>
      </dgm:t>
    </dgm:pt>
    <dgm:pt modelId="{B99DC857-BF5D-436F-9EDD-8EB0C59FB164}" type="sibTrans" cxnId="{0A14E3EC-F6E4-43D3-8B63-8D64A1C9BA6B}">
      <dgm:prSet/>
      <dgm:spPr/>
      <dgm:t>
        <a:bodyPr/>
        <a:lstStyle/>
        <a:p>
          <a:endParaRPr lang="en-US"/>
        </a:p>
      </dgm:t>
    </dgm:pt>
    <dgm:pt modelId="{AF8D8FC5-C98B-4C12-97DB-84CAEAB2D533}">
      <dgm:prSet phldrT="[Text]" custT="1"/>
      <dgm:spPr>
        <a:solidFill>
          <a:srgbClr val="FFC000">
            <a:alpha val="50000"/>
          </a:srgbClr>
        </a:solidFill>
      </dgm:spPr>
      <dgm:t>
        <a:bodyPr/>
        <a:lstStyle/>
        <a:p>
          <a:endParaRPr lang="en-US" sz="1600">
            <a:solidFill>
              <a:schemeClr val="bg1"/>
            </a:solidFill>
          </a:endParaRPr>
        </a:p>
      </dgm:t>
    </dgm:pt>
    <dgm:pt modelId="{07BC21A6-CCE8-411B-9C51-102433E2CE13}" type="sibTrans" cxnId="{01C211C4-16D1-4FF6-A10C-469956D83A66}">
      <dgm:prSet/>
      <dgm:spPr/>
      <dgm:t>
        <a:bodyPr/>
        <a:lstStyle/>
        <a:p>
          <a:endParaRPr lang="en-US"/>
        </a:p>
      </dgm:t>
    </dgm:pt>
    <dgm:pt modelId="{44F6C2C9-AC78-46FF-B654-7497B70954BC}" type="parTrans" cxnId="{01C211C4-16D1-4FF6-A10C-469956D83A66}">
      <dgm:prSet/>
      <dgm:spPr/>
      <dgm:t>
        <a:bodyPr/>
        <a:lstStyle/>
        <a:p>
          <a:endParaRPr lang="en-US"/>
        </a:p>
      </dgm:t>
    </dgm:pt>
    <dgm:pt modelId="{67B52E16-A2D5-48BB-B7F1-850052634F2A}">
      <dgm:prSet phldrT="[Text]" custT="1"/>
      <dgm:spPr>
        <a:solidFill>
          <a:srgbClr val="984806">
            <a:alpha val="50000"/>
          </a:srgbClr>
        </a:solidFill>
      </dgm:spPr>
      <dgm:t>
        <a:bodyPr/>
        <a:lstStyle/>
        <a:p>
          <a:endParaRPr lang="en-US" sz="1600">
            <a:solidFill>
              <a:schemeClr val="bg1"/>
            </a:solidFill>
          </a:endParaRPr>
        </a:p>
      </dgm:t>
    </dgm:pt>
    <dgm:pt modelId="{A5B66BD1-3183-437C-9B86-F57FB16800BB}" type="parTrans" cxnId="{A24D4F97-7407-4C2C-AD60-DDA212AFB322}">
      <dgm:prSet/>
      <dgm:spPr/>
      <dgm:t>
        <a:bodyPr/>
        <a:lstStyle/>
        <a:p>
          <a:endParaRPr lang="en-US"/>
        </a:p>
      </dgm:t>
    </dgm:pt>
    <dgm:pt modelId="{57B335DB-4AA1-46A9-94AE-AF00CEB4BB4F}" type="sibTrans" cxnId="{A24D4F97-7407-4C2C-AD60-DDA212AFB322}">
      <dgm:prSet/>
      <dgm:spPr/>
      <dgm:t>
        <a:bodyPr/>
        <a:lstStyle/>
        <a:p>
          <a:endParaRPr lang="en-US"/>
        </a:p>
      </dgm:t>
    </dgm:pt>
    <dgm:pt modelId="{B0406A81-78CD-4FC2-B859-1A9EC5BE5098}" type="pres">
      <dgm:prSet presAssocID="{35221A75-EC9D-466F-BA6E-DAD2A6189829}" presName="composite" presStyleCnt="0">
        <dgm:presLayoutVars>
          <dgm:chMax val="1"/>
          <dgm:dir/>
          <dgm:resizeHandles val="exact"/>
        </dgm:presLayoutVars>
      </dgm:prSet>
      <dgm:spPr/>
    </dgm:pt>
    <dgm:pt modelId="{A6A4D161-C845-4630-B843-37FDFAFA439E}" type="pres">
      <dgm:prSet presAssocID="{35221A75-EC9D-466F-BA6E-DAD2A6189829}" presName="radial" presStyleCnt="0">
        <dgm:presLayoutVars>
          <dgm:animLvl val="ctr"/>
        </dgm:presLayoutVars>
      </dgm:prSet>
      <dgm:spPr/>
    </dgm:pt>
    <dgm:pt modelId="{2B3AFA4A-1BF0-4AA4-A26A-0365F51F9645}" type="pres">
      <dgm:prSet presAssocID="{149B21FB-EF86-47ED-B21B-CCFFA7BE0744}" presName="centerShape" presStyleLbl="vennNode1" presStyleIdx="0" presStyleCnt="8" custScaleX="86564" custScaleY="86564"/>
      <dgm:spPr/>
    </dgm:pt>
    <dgm:pt modelId="{1C293624-15C3-49C9-B1E0-40E743F6674E}" type="pres">
      <dgm:prSet presAssocID="{50E4CA71-B841-4954-9F06-FE7CA4028100}" presName="node" presStyleLbl="vennNode1" presStyleIdx="1" presStyleCnt="8" custScaleX="98930" custScaleY="98930">
        <dgm:presLayoutVars>
          <dgm:bulletEnabled val="1"/>
        </dgm:presLayoutVars>
      </dgm:prSet>
      <dgm:spPr/>
    </dgm:pt>
    <dgm:pt modelId="{C7972613-520C-4733-9CDA-EA54C2164035}" type="pres">
      <dgm:prSet presAssocID="{5643BFC8-91C2-426E-8189-F6FE054FA97F}" presName="node" presStyleLbl="vennNode1" presStyleIdx="2" presStyleCnt="8" custScaleX="98930" custScaleY="98930">
        <dgm:presLayoutVars>
          <dgm:bulletEnabled val="1"/>
        </dgm:presLayoutVars>
      </dgm:prSet>
      <dgm:spPr/>
    </dgm:pt>
    <dgm:pt modelId="{8FC99862-EC81-40F7-A971-4E4D663EE19C}" type="pres">
      <dgm:prSet presAssocID="{62A20723-55AC-4206-A898-BC5EE125B0DF}" presName="node" presStyleLbl="vennNode1" presStyleIdx="3" presStyleCnt="8" custScaleX="98930" custScaleY="98930">
        <dgm:presLayoutVars>
          <dgm:bulletEnabled val="1"/>
        </dgm:presLayoutVars>
      </dgm:prSet>
      <dgm:spPr/>
    </dgm:pt>
    <dgm:pt modelId="{A341F029-7297-499C-8A98-0D936F7AEE7B}" type="pres">
      <dgm:prSet presAssocID="{34C894B0-B20C-413D-91C8-F504EA24124E}" presName="node" presStyleLbl="vennNode1" presStyleIdx="4" presStyleCnt="8" custScaleX="98930" custScaleY="98930">
        <dgm:presLayoutVars>
          <dgm:bulletEnabled val="1"/>
        </dgm:presLayoutVars>
      </dgm:prSet>
      <dgm:spPr/>
    </dgm:pt>
    <dgm:pt modelId="{84DAD140-45D7-476A-A9A6-72ABD5DDE66C}" type="pres">
      <dgm:prSet presAssocID="{100CD882-2B0A-43AA-B25F-80DB1D8DC999}" presName="node" presStyleLbl="vennNode1" presStyleIdx="5" presStyleCnt="8" custScaleX="98930" custScaleY="98930">
        <dgm:presLayoutVars>
          <dgm:bulletEnabled val="1"/>
        </dgm:presLayoutVars>
      </dgm:prSet>
      <dgm:spPr/>
    </dgm:pt>
    <dgm:pt modelId="{7689C41F-26FF-4BD4-9010-404E427C92CB}" type="pres">
      <dgm:prSet presAssocID="{67B52E16-A2D5-48BB-B7F1-850052634F2A}" presName="node" presStyleLbl="vennNode1" presStyleIdx="6" presStyleCnt="8">
        <dgm:presLayoutVars>
          <dgm:bulletEnabled val="1"/>
        </dgm:presLayoutVars>
      </dgm:prSet>
      <dgm:spPr/>
    </dgm:pt>
    <dgm:pt modelId="{15354715-D3E2-417D-A84A-96E52C408F02}" type="pres">
      <dgm:prSet presAssocID="{AF8D8FC5-C98B-4C12-97DB-84CAEAB2D533}" presName="node" presStyleLbl="vennNode1" presStyleIdx="7" presStyleCnt="8" custScaleX="98930" custScaleY="98930">
        <dgm:presLayoutVars>
          <dgm:bulletEnabled val="1"/>
        </dgm:presLayoutVars>
      </dgm:prSet>
      <dgm:spPr/>
    </dgm:pt>
  </dgm:ptLst>
  <dgm:cxnLst>
    <dgm:cxn modelId="{2CD2FD05-C2EE-4610-B99C-E5E01A550A67}" type="presOf" srcId="{62A20723-55AC-4206-A898-BC5EE125B0DF}" destId="{8FC99862-EC81-40F7-A971-4E4D663EE19C}" srcOrd="0" destOrd="0" presId="urn:microsoft.com/office/officeart/2005/8/layout/radial3"/>
    <dgm:cxn modelId="{DAFAD30A-3F05-4EDF-A304-2675434F475C}" type="presOf" srcId="{34C894B0-B20C-413D-91C8-F504EA24124E}" destId="{A341F029-7297-499C-8A98-0D936F7AEE7B}" srcOrd="0" destOrd="0" presId="urn:microsoft.com/office/officeart/2005/8/layout/radial3"/>
    <dgm:cxn modelId="{C9802C0D-8388-4890-86DC-DFC11AC53D36}" srcId="{35221A75-EC9D-466F-BA6E-DAD2A6189829}" destId="{149B21FB-EF86-47ED-B21B-CCFFA7BE0744}" srcOrd="0" destOrd="0" parTransId="{C3F09DB2-8AD6-4BDD-B381-DFA3DDFE24AD}" sibTransId="{89CDCAF7-F7A9-4F6B-89D4-CCF2671B41E5}"/>
    <dgm:cxn modelId="{6CE76116-900D-4DAF-9D21-A82F9B3546C1}" srcId="{149B21FB-EF86-47ED-B21B-CCFFA7BE0744}" destId="{5643BFC8-91C2-426E-8189-F6FE054FA97F}" srcOrd="1" destOrd="0" parTransId="{58DF9915-A4BD-4AC5-86F6-65AE99C99B59}" sibTransId="{771EA7E4-6217-4DF1-B50E-E8DBECEAA600}"/>
    <dgm:cxn modelId="{BCFE9D1C-9EEE-4898-8FBA-9411C7ECF818}" type="presOf" srcId="{5643BFC8-91C2-426E-8189-F6FE054FA97F}" destId="{C7972613-520C-4733-9CDA-EA54C2164035}" srcOrd="0" destOrd="0" presId="urn:microsoft.com/office/officeart/2005/8/layout/radial3"/>
    <dgm:cxn modelId="{4D9F2B29-A48B-4F3F-8887-C7E18E9B39B5}" type="presOf" srcId="{35221A75-EC9D-466F-BA6E-DAD2A6189829}" destId="{B0406A81-78CD-4FC2-B859-1A9EC5BE5098}" srcOrd="0" destOrd="0" presId="urn:microsoft.com/office/officeart/2005/8/layout/radial3"/>
    <dgm:cxn modelId="{7FCEE137-F2F5-4402-94EC-BFD4017E796D}" type="presOf" srcId="{50E4CA71-B841-4954-9F06-FE7CA4028100}" destId="{1C293624-15C3-49C9-B1E0-40E743F6674E}" srcOrd="0" destOrd="0" presId="urn:microsoft.com/office/officeart/2005/8/layout/radial3"/>
    <dgm:cxn modelId="{7A1A2F60-BE72-48DA-8F0F-0D059917C303}" srcId="{149B21FB-EF86-47ED-B21B-CCFFA7BE0744}" destId="{50E4CA71-B841-4954-9F06-FE7CA4028100}" srcOrd="0" destOrd="0" parTransId="{3EC2F745-5831-456C-8E93-C3E5334D9D6E}" sibTransId="{B7F51FFE-F47D-4F88-B69F-B77D717D907E}"/>
    <dgm:cxn modelId="{3B076345-42CC-4778-8B72-24F951191C7A}" srcId="{149B21FB-EF86-47ED-B21B-CCFFA7BE0744}" destId="{62A20723-55AC-4206-A898-BC5EE125B0DF}" srcOrd="2" destOrd="0" parTransId="{1750E2E1-F394-42B2-AA80-C85E45F5BA81}" sibTransId="{140EE13C-4FD2-4276-91C9-B78BC7CB341B}"/>
    <dgm:cxn modelId="{D3647B6B-B159-43A3-A004-BEA0F2EBA4B2}" type="presOf" srcId="{100CD882-2B0A-43AA-B25F-80DB1D8DC999}" destId="{84DAD140-45D7-476A-A9A6-72ABD5DDE66C}" srcOrd="0" destOrd="0" presId="urn:microsoft.com/office/officeart/2005/8/layout/radial3"/>
    <dgm:cxn modelId="{39611E87-3A70-41AA-B3B2-565CD125B7F3}" srcId="{149B21FB-EF86-47ED-B21B-CCFFA7BE0744}" destId="{100CD882-2B0A-43AA-B25F-80DB1D8DC999}" srcOrd="4" destOrd="0" parTransId="{4DE6C14E-B84C-4EF9-988B-350B3383B224}" sibTransId="{2DCEC550-A957-438A-A2F0-6F7940415025}"/>
    <dgm:cxn modelId="{A24D4F97-7407-4C2C-AD60-DDA212AFB322}" srcId="{149B21FB-EF86-47ED-B21B-CCFFA7BE0744}" destId="{67B52E16-A2D5-48BB-B7F1-850052634F2A}" srcOrd="5" destOrd="0" parTransId="{A5B66BD1-3183-437C-9B86-F57FB16800BB}" sibTransId="{57B335DB-4AA1-46A9-94AE-AF00CEB4BB4F}"/>
    <dgm:cxn modelId="{DC433CB3-1910-4117-ACEA-5475032D8798}" type="presOf" srcId="{67B52E16-A2D5-48BB-B7F1-850052634F2A}" destId="{7689C41F-26FF-4BD4-9010-404E427C92CB}" srcOrd="0" destOrd="0" presId="urn:microsoft.com/office/officeart/2005/8/layout/radial3"/>
    <dgm:cxn modelId="{81FB56BF-2622-4EAD-9863-82F78A3D1D88}" type="presOf" srcId="{149B21FB-EF86-47ED-B21B-CCFFA7BE0744}" destId="{2B3AFA4A-1BF0-4AA4-A26A-0365F51F9645}" srcOrd="0" destOrd="0" presId="urn:microsoft.com/office/officeart/2005/8/layout/radial3"/>
    <dgm:cxn modelId="{01C211C4-16D1-4FF6-A10C-469956D83A66}" srcId="{149B21FB-EF86-47ED-B21B-CCFFA7BE0744}" destId="{AF8D8FC5-C98B-4C12-97DB-84CAEAB2D533}" srcOrd="6" destOrd="0" parTransId="{44F6C2C9-AC78-46FF-B654-7497B70954BC}" sibTransId="{07BC21A6-CCE8-411B-9C51-102433E2CE13}"/>
    <dgm:cxn modelId="{0126F8E3-0529-49E2-8181-B1167DF43E89}" type="presOf" srcId="{AF8D8FC5-C98B-4C12-97DB-84CAEAB2D533}" destId="{15354715-D3E2-417D-A84A-96E52C408F02}" srcOrd="0" destOrd="0" presId="urn:microsoft.com/office/officeart/2005/8/layout/radial3"/>
    <dgm:cxn modelId="{0A14E3EC-F6E4-43D3-8B63-8D64A1C9BA6B}" srcId="{149B21FB-EF86-47ED-B21B-CCFFA7BE0744}" destId="{34C894B0-B20C-413D-91C8-F504EA24124E}" srcOrd="3" destOrd="0" parTransId="{D6259F8A-0FF6-4918-A4D9-2F6B6F316B69}" sibTransId="{B99DC857-BF5D-436F-9EDD-8EB0C59FB164}"/>
    <dgm:cxn modelId="{C1B88B1D-3766-481E-97E3-CB3DB5AB61E5}" type="presParOf" srcId="{B0406A81-78CD-4FC2-B859-1A9EC5BE5098}" destId="{A6A4D161-C845-4630-B843-37FDFAFA439E}" srcOrd="0" destOrd="0" presId="urn:microsoft.com/office/officeart/2005/8/layout/radial3"/>
    <dgm:cxn modelId="{34A118BC-591E-4454-A7E8-312EC1AD5C08}" type="presParOf" srcId="{A6A4D161-C845-4630-B843-37FDFAFA439E}" destId="{2B3AFA4A-1BF0-4AA4-A26A-0365F51F9645}" srcOrd="0" destOrd="0" presId="urn:microsoft.com/office/officeart/2005/8/layout/radial3"/>
    <dgm:cxn modelId="{AE4882AC-B7D5-46E8-B867-8375AFCFC073}" type="presParOf" srcId="{A6A4D161-C845-4630-B843-37FDFAFA439E}" destId="{1C293624-15C3-49C9-B1E0-40E743F6674E}" srcOrd="1" destOrd="0" presId="urn:microsoft.com/office/officeart/2005/8/layout/radial3"/>
    <dgm:cxn modelId="{FFC04A2D-C769-44D0-A752-3D99CE6D1021}" type="presParOf" srcId="{A6A4D161-C845-4630-B843-37FDFAFA439E}" destId="{C7972613-520C-4733-9CDA-EA54C2164035}" srcOrd="2" destOrd="0" presId="urn:microsoft.com/office/officeart/2005/8/layout/radial3"/>
    <dgm:cxn modelId="{00832803-B974-48BF-9B7E-AA54B90FA6D8}" type="presParOf" srcId="{A6A4D161-C845-4630-B843-37FDFAFA439E}" destId="{8FC99862-EC81-40F7-A971-4E4D663EE19C}" srcOrd="3" destOrd="0" presId="urn:microsoft.com/office/officeart/2005/8/layout/radial3"/>
    <dgm:cxn modelId="{BAF6CF4F-9E6A-4902-923C-A3F01D95C237}" type="presParOf" srcId="{A6A4D161-C845-4630-B843-37FDFAFA439E}" destId="{A341F029-7297-499C-8A98-0D936F7AEE7B}" srcOrd="4" destOrd="0" presId="urn:microsoft.com/office/officeart/2005/8/layout/radial3"/>
    <dgm:cxn modelId="{BE30DE19-D7C9-4AC5-ADCE-4CEF72E63C6B}" type="presParOf" srcId="{A6A4D161-C845-4630-B843-37FDFAFA439E}" destId="{84DAD140-45D7-476A-A9A6-72ABD5DDE66C}" srcOrd="5" destOrd="0" presId="urn:microsoft.com/office/officeart/2005/8/layout/radial3"/>
    <dgm:cxn modelId="{82FB18BB-83D6-4C26-B517-2815E8639657}" type="presParOf" srcId="{A6A4D161-C845-4630-B843-37FDFAFA439E}" destId="{7689C41F-26FF-4BD4-9010-404E427C92CB}" srcOrd="6" destOrd="0" presId="urn:microsoft.com/office/officeart/2005/8/layout/radial3"/>
    <dgm:cxn modelId="{0062A88F-E30B-4DFF-9CD5-686A77074FB0}" type="presParOf" srcId="{A6A4D161-C845-4630-B843-37FDFAFA439E}" destId="{15354715-D3E2-417D-A84A-96E52C408F02}" srcOrd="7" destOrd="0" presId="urn:microsoft.com/office/officeart/2005/8/layout/radial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83FCAB9-EBEC-48D9-AB2C-C6AFCD1E6B8E}">
      <dsp:nvSpPr>
        <dsp:cNvPr id="0" name=""/>
        <dsp:cNvSpPr/>
      </dsp:nvSpPr>
      <dsp:spPr>
        <a:xfrm>
          <a:off x="0" y="138282"/>
          <a:ext cx="10086978" cy="583537"/>
        </a:xfrm>
        <a:prstGeom prst="roundRect">
          <a:avLst/>
        </a:prstGeom>
        <a:solidFill>
          <a:schemeClr val="bg1">
            <a:lumMod val="85000"/>
            <a:alpha val="9000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862" tIns="208280" rIns="782862" bIns="85344" numCol="1" spcCol="1270" anchor="ctr" anchorCtr="0">
          <a:noAutofit/>
        </a:bodyPr>
        <a:lstStyle/>
        <a:p>
          <a:pPr marL="114300" lvl="1" indent="-114300" algn="l" defTabSz="533400">
            <a:lnSpc>
              <a:spcPct val="90000"/>
            </a:lnSpc>
            <a:spcBef>
              <a:spcPct val="0"/>
            </a:spcBef>
            <a:spcAft>
              <a:spcPct val="15000"/>
            </a:spcAft>
            <a:buChar char="•"/>
          </a:pPr>
          <a:r>
            <a:rPr lang="en-US" sz="1200" kern="1200"/>
            <a:t>Complete, print, sign and submit the Application Form to VGBC for registering your project.</a:t>
          </a:r>
        </a:p>
      </dsp:txBody>
      <dsp:txXfrm>
        <a:off x="28486" y="166768"/>
        <a:ext cx="10030006" cy="526565"/>
      </dsp:txXfrm>
    </dsp:sp>
    <dsp:sp modelId="{C5334FA4-E4E8-4480-9609-7791FBBC1674}">
      <dsp:nvSpPr>
        <dsp:cNvPr id="0" name=""/>
        <dsp:cNvSpPr/>
      </dsp:nvSpPr>
      <dsp:spPr>
        <a:xfrm>
          <a:off x="504348" y="6161"/>
          <a:ext cx="7060884" cy="324000"/>
        </a:xfrm>
        <a:prstGeom prst="roundRect">
          <a:avLst/>
        </a:prstGeom>
        <a:solidFill>
          <a:srgbClr val="76923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66885" tIns="0" rIns="266885" bIns="0" numCol="1" spcCol="1270" anchor="ctr" anchorCtr="0">
          <a:noAutofit/>
        </a:bodyPr>
        <a:lstStyle/>
        <a:p>
          <a:pPr marL="0" lvl="0" indent="0" algn="l" defTabSz="800100">
            <a:lnSpc>
              <a:spcPct val="90000"/>
            </a:lnSpc>
            <a:spcBef>
              <a:spcPct val="0"/>
            </a:spcBef>
            <a:spcAft>
              <a:spcPct val="35000"/>
            </a:spcAft>
            <a:buNone/>
          </a:pPr>
          <a:r>
            <a:rPr lang="en-US" sz="1800" kern="1200"/>
            <a:t>Step 1: Application Form</a:t>
          </a:r>
        </a:p>
      </dsp:txBody>
      <dsp:txXfrm>
        <a:off x="520164" y="21977"/>
        <a:ext cx="7029252" cy="292368"/>
      </dsp:txXfrm>
    </dsp:sp>
    <dsp:sp modelId="{F696AFEC-B333-4282-BFEA-6C8CF0D1B162}">
      <dsp:nvSpPr>
        <dsp:cNvPr id="0" name=""/>
        <dsp:cNvSpPr/>
      </dsp:nvSpPr>
      <dsp:spPr>
        <a:xfrm>
          <a:off x="0" y="924140"/>
          <a:ext cx="10086978" cy="798525"/>
        </a:xfrm>
        <a:prstGeom prst="roundRect">
          <a:avLst/>
        </a:prstGeom>
        <a:solidFill>
          <a:schemeClr val="bg1">
            <a:lumMod val="85000"/>
            <a:alpha val="90000"/>
          </a:schemeClr>
        </a:solidFill>
        <a:ln w="1270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862" tIns="208280" rIns="782862" bIns="85344" numCol="1" spcCol="1270" anchor="ctr" anchorCtr="0">
          <a:noAutofit/>
        </a:bodyPr>
        <a:lstStyle/>
        <a:p>
          <a:pPr marL="114300" lvl="1" indent="-114300" algn="l" defTabSz="533400">
            <a:lnSpc>
              <a:spcPct val="90000"/>
            </a:lnSpc>
            <a:spcBef>
              <a:spcPct val="0"/>
            </a:spcBef>
            <a:spcAft>
              <a:spcPct val="15000"/>
            </a:spcAft>
            <a:buChar char="•"/>
          </a:pPr>
          <a:r>
            <a:rPr lang="en-US" sz="1200" kern="1200"/>
            <a:t>Complete the sheet with General Information on the project</a:t>
          </a:r>
        </a:p>
        <a:p>
          <a:pPr marL="114300" lvl="1" indent="-114300" algn="l" defTabSz="533400">
            <a:lnSpc>
              <a:spcPct val="90000"/>
            </a:lnSpc>
            <a:spcBef>
              <a:spcPct val="0"/>
            </a:spcBef>
            <a:spcAft>
              <a:spcPct val="15000"/>
            </a:spcAft>
            <a:buChar char="•"/>
          </a:pPr>
          <a:r>
            <a:rPr lang="en-US" sz="1200" kern="1200"/>
            <a:t>Select the current Submission stage of the project between Pre-assessment stage and Certification stage</a:t>
          </a:r>
        </a:p>
      </dsp:txBody>
      <dsp:txXfrm>
        <a:off x="38981" y="963121"/>
        <a:ext cx="10009016" cy="720563"/>
      </dsp:txXfrm>
    </dsp:sp>
    <dsp:sp modelId="{E6F9C73F-9A71-4BD6-BAA2-D97C3D80C5E5}">
      <dsp:nvSpPr>
        <dsp:cNvPr id="0" name=""/>
        <dsp:cNvSpPr/>
      </dsp:nvSpPr>
      <dsp:spPr>
        <a:xfrm>
          <a:off x="504348" y="792020"/>
          <a:ext cx="7060884" cy="324000"/>
        </a:xfrm>
        <a:prstGeom prst="roundRect">
          <a:avLst/>
        </a:prstGeom>
        <a:solidFill>
          <a:srgbClr val="76923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66885" tIns="0" rIns="266885" bIns="0" numCol="1" spcCol="1270" anchor="ctr" anchorCtr="0">
          <a:noAutofit/>
        </a:bodyPr>
        <a:lstStyle/>
        <a:p>
          <a:pPr marL="0" lvl="0" indent="0" algn="l" defTabSz="800100">
            <a:lnSpc>
              <a:spcPct val="90000"/>
            </a:lnSpc>
            <a:spcBef>
              <a:spcPct val="0"/>
            </a:spcBef>
            <a:spcAft>
              <a:spcPct val="35000"/>
            </a:spcAft>
            <a:buNone/>
          </a:pPr>
          <a:r>
            <a:rPr lang="en-US" sz="1800" kern="1200"/>
            <a:t>Step 2: Project information</a:t>
          </a:r>
        </a:p>
      </dsp:txBody>
      <dsp:txXfrm>
        <a:off x="520164" y="807836"/>
        <a:ext cx="7029252" cy="292368"/>
      </dsp:txXfrm>
    </dsp:sp>
    <dsp:sp modelId="{284A29C9-C546-4F3D-8AD6-42D9476EB620}">
      <dsp:nvSpPr>
        <dsp:cNvPr id="0" name=""/>
        <dsp:cNvSpPr/>
      </dsp:nvSpPr>
      <dsp:spPr>
        <a:xfrm>
          <a:off x="0" y="1924986"/>
          <a:ext cx="10086978" cy="1023750"/>
        </a:xfrm>
        <a:prstGeom prst="roundRect">
          <a:avLst/>
        </a:prstGeom>
        <a:solidFill>
          <a:schemeClr val="bg1">
            <a:lumMod val="85000"/>
            <a:alpha val="90000"/>
          </a:schemeClr>
        </a:solidFill>
        <a:ln w="1270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862" tIns="208280" rIns="782862" bIns="85344" numCol="1" spcCol="1270" anchor="ctr" anchorCtr="0">
          <a:noAutofit/>
        </a:bodyPr>
        <a:lstStyle/>
        <a:p>
          <a:pPr marL="114300" lvl="1" indent="-114300" algn="l" defTabSz="533400">
            <a:lnSpc>
              <a:spcPct val="90000"/>
            </a:lnSpc>
            <a:spcBef>
              <a:spcPct val="0"/>
            </a:spcBef>
            <a:spcAft>
              <a:spcPct val="15000"/>
            </a:spcAft>
            <a:buChar char="•"/>
          </a:pPr>
          <a:r>
            <a:rPr lang="en-US" sz="1200" kern="1200"/>
            <a:t>The LOTUS</a:t>
          </a:r>
          <a:r>
            <a:rPr lang="en-US" sz="1200" kern="1200" baseline="-25000"/>
            <a:t> </a:t>
          </a:r>
          <a:r>
            <a:rPr lang="en-US" sz="1200" kern="1200"/>
            <a:t>Small Buildings Scorecard is the main sheet of the User Tool where results are gathered.</a:t>
          </a:r>
        </a:p>
        <a:p>
          <a:pPr marL="114300" lvl="1" indent="-114300" algn="l" defTabSz="533400">
            <a:lnSpc>
              <a:spcPct val="90000"/>
            </a:lnSpc>
            <a:spcBef>
              <a:spcPct val="0"/>
            </a:spcBef>
            <a:spcAft>
              <a:spcPct val="15000"/>
            </a:spcAft>
            <a:buChar char="•"/>
          </a:pPr>
          <a:r>
            <a:rPr lang="en-US" sz="1200" kern="1200"/>
            <a:t>Navigate to the different categories by clicking on the appropriate images. </a:t>
          </a:r>
        </a:p>
        <a:p>
          <a:pPr marL="114300" lvl="1" indent="-114300" algn="l" defTabSz="533400">
            <a:lnSpc>
              <a:spcPct val="90000"/>
            </a:lnSpc>
            <a:spcBef>
              <a:spcPct val="0"/>
            </a:spcBef>
            <a:spcAft>
              <a:spcPct val="15000"/>
            </a:spcAft>
            <a:buChar char="•"/>
          </a:pPr>
          <a:r>
            <a:rPr lang="en-US" sz="1200" kern="1200"/>
            <a:t>The Scorecard is filled automatically as the user provides information in the light red cells of the credit sheets.</a:t>
          </a:r>
        </a:p>
      </dsp:txBody>
      <dsp:txXfrm>
        <a:off x="49975" y="1974961"/>
        <a:ext cx="9987028" cy="923800"/>
      </dsp:txXfrm>
    </dsp:sp>
    <dsp:sp modelId="{6740D588-A1FC-40CF-9D13-1578E3488064}">
      <dsp:nvSpPr>
        <dsp:cNvPr id="0" name=""/>
        <dsp:cNvSpPr/>
      </dsp:nvSpPr>
      <dsp:spPr>
        <a:xfrm>
          <a:off x="504348" y="1792865"/>
          <a:ext cx="7060884" cy="324000"/>
        </a:xfrm>
        <a:prstGeom prst="roundRect">
          <a:avLst/>
        </a:prstGeom>
        <a:solidFill>
          <a:srgbClr val="76923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66885" tIns="0" rIns="266885" bIns="0" numCol="1" spcCol="1270" anchor="ctr" anchorCtr="0">
          <a:noAutofit/>
        </a:bodyPr>
        <a:lstStyle/>
        <a:p>
          <a:pPr marL="0" lvl="0" indent="0" algn="l" defTabSz="800100">
            <a:lnSpc>
              <a:spcPct val="90000"/>
            </a:lnSpc>
            <a:spcBef>
              <a:spcPct val="0"/>
            </a:spcBef>
            <a:spcAft>
              <a:spcPct val="35000"/>
            </a:spcAft>
            <a:buNone/>
          </a:pPr>
          <a:r>
            <a:rPr lang="en-US" sz="1800" kern="1200"/>
            <a:t>Step 3: LOTUS</a:t>
          </a:r>
          <a:r>
            <a:rPr lang="en-US" sz="1800" kern="1200" baseline="-25000"/>
            <a:t> </a:t>
          </a:r>
          <a:r>
            <a:rPr lang="en-US" sz="1800" kern="1200"/>
            <a:t>Small Buildings Scorecard</a:t>
          </a:r>
        </a:p>
      </dsp:txBody>
      <dsp:txXfrm>
        <a:off x="520164" y="1808681"/>
        <a:ext cx="7029252" cy="292368"/>
      </dsp:txXfrm>
    </dsp:sp>
    <dsp:sp modelId="{B6A52FED-A50C-455F-8138-D21A601346D8}">
      <dsp:nvSpPr>
        <dsp:cNvPr id="0" name=""/>
        <dsp:cNvSpPr/>
      </dsp:nvSpPr>
      <dsp:spPr>
        <a:xfrm>
          <a:off x="0" y="3151057"/>
          <a:ext cx="10086978" cy="798525"/>
        </a:xfrm>
        <a:prstGeom prst="roundRect">
          <a:avLst/>
        </a:prstGeom>
        <a:solidFill>
          <a:schemeClr val="bg1">
            <a:lumMod val="85000"/>
            <a:alpha val="90000"/>
          </a:schemeClr>
        </a:solidFill>
        <a:ln w="1270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862" tIns="208280" rIns="782862" bIns="85344" numCol="1" spcCol="1270" anchor="ctr" anchorCtr="0">
          <a:noAutofit/>
        </a:bodyPr>
        <a:lstStyle/>
        <a:p>
          <a:pPr marL="114300" lvl="1" indent="-114300" algn="l" defTabSz="533400">
            <a:lnSpc>
              <a:spcPct val="90000"/>
            </a:lnSpc>
            <a:spcBef>
              <a:spcPct val="0"/>
            </a:spcBef>
            <a:spcAft>
              <a:spcPct val="15000"/>
            </a:spcAft>
            <a:buChar char="•"/>
          </a:pPr>
          <a:r>
            <a:rPr lang="en-US" sz="1200" kern="1200"/>
            <a:t>There is a main spreadsheet for each category providing an overview (list of credits and points available) of the category</a:t>
          </a:r>
        </a:p>
        <a:p>
          <a:pPr marL="114300" lvl="1" indent="-114300" algn="l" defTabSz="533400">
            <a:lnSpc>
              <a:spcPct val="90000"/>
            </a:lnSpc>
            <a:spcBef>
              <a:spcPct val="0"/>
            </a:spcBef>
            <a:spcAft>
              <a:spcPct val="15000"/>
            </a:spcAft>
            <a:buChar char="•"/>
          </a:pPr>
          <a:r>
            <a:rPr lang="en-US" sz="1200" kern="1200"/>
            <a:t>Navigate to the different credits of each category from these spreadsheets.</a:t>
          </a:r>
        </a:p>
      </dsp:txBody>
      <dsp:txXfrm>
        <a:off x="38981" y="3190038"/>
        <a:ext cx="10009016" cy="720563"/>
      </dsp:txXfrm>
    </dsp:sp>
    <dsp:sp modelId="{B3D6AE2B-6188-4039-A24E-BBEA54C42128}">
      <dsp:nvSpPr>
        <dsp:cNvPr id="0" name=""/>
        <dsp:cNvSpPr/>
      </dsp:nvSpPr>
      <dsp:spPr>
        <a:xfrm>
          <a:off x="504348" y="3018936"/>
          <a:ext cx="7060884" cy="324000"/>
        </a:xfrm>
        <a:prstGeom prst="roundRect">
          <a:avLst/>
        </a:prstGeom>
        <a:solidFill>
          <a:srgbClr val="76923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66885" tIns="0" rIns="266885" bIns="0" numCol="1" spcCol="1270" anchor="ctr" anchorCtr="0">
          <a:noAutofit/>
        </a:bodyPr>
        <a:lstStyle/>
        <a:p>
          <a:pPr marL="0" lvl="0" indent="0" algn="l" defTabSz="800100">
            <a:lnSpc>
              <a:spcPct val="90000"/>
            </a:lnSpc>
            <a:spcBef>
              <a:spcPct val="0"/>
            </a:spcBef>
            <a:spcAft>
              <a:spcPct val="35000"/>
            </a:spcAft>
            <a:buNone/>
          </a:pPr>
          <a:r>
            <a:rPr lang="en-US" sz="1800" kern="1200"/>
            <a:t>Step 4: Category sheets</a:t>
          </a:r>
        </a:p>
      </dsp:txBody>
      <dsp:txXfrm>
        <a:off x="520164" y="3034752"/>
        <a:ext cx="7029252" cy="292368"/>
      </dsp:txXfrm>
    </dsp:sp>
    <dsp:sp modelId="{4458F318-4BE7-4C09-B25E-52BFB7878ACE}">
      <dsp:nvSpPr>
        <dsp:cNvPr id="0" name=""/>
        <dsp:cNvSpPr/>
      </dsp:nvSpPr>
      <dsp:spPr>
        <a:xfrm>
          <a:off x="0" y="4151903"/>
          <a:ext cx="10086978" cy="1248975"/>
        </a:xfrm>
        <a:prstGeom prst="roundRect">
          <a:avLst/>
        </a:prstGeom>
        <a:solidFill>
          <a:schemeClr val="bg1">
            <a:lumMod val="85000"/>
            <a:alpha val="90000"/>
          </a:schemeClr>
        </a:solidFill>
        <a:ln w="1270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862" tIns="208280" rIns="782862" bIns="85344" numCol="1" spcCol="1270" anchor="ctr" anchorCtr="0">
          <a:noAutofit/>
        </a:bodyPr>
        <a:lstStyle/>
        <a:p>
          <a:pPr marL="114300" lvl="1" indent="-114300" algn="l" defTabSz="533400">
            <a:lnSpc>
              <a:spcPct val="90000"/>
            </a:lnSpc>
            <a:spcBef>
              <a:spcPct val="0"/>
            </a:spcBef>
            <a:spcAft>
              <a:spcPct val="15000"/>
            </a:spcAft>
            <a:buChar char="•"/>
          </a:pPr>
          <a:r>
            <a:rPr lang="en-US" sz="1200" kern="1200"/>
            <a:t>There is a separate spreadsheet for each LOTUS</a:t>
          </a:r>
          <a:r>
            <a:rPr lang="en-US" sz="1200" kern="1200" baseline="-25000"/>
            <a:t> </a:t>
          </a:r>
          <a:r>
            <a:rPr lang="en-US" sz="1200" kern="1200"/>
            <a:t>Small Buildings credit.</a:t>
          </a:r>
        </a:p>
        <a:p>
          <a:pPr marL="114300" lvl="1" indent="-114300" algn="l" defTabSz="533400">
            <a:lnSpc>
              <a:spcPct val="90000"/>
            </a:lnSpc>
            <a:spcBef>
              <a:spcPct val="0"/>
            </a:spcBef>
            <a:spcAft>
              <a:spcPct val="15000"/>
            </a:spcAft>
            <a:buChar char="•"/>
          </a:pPr>
          <a:r>
            <a:rPr lang="en-US" sz="1200" kern="1200"/>
            <a:t>This sheet provides the key information and instructions for the credit.</a:t>
          </a:r>
        </a:p>
        <a:p>
          <a:pPr marL="114300" lvl="1" indent="-114300" algn="l" defTabSz="533400">
            <a:lnSpc>
              <a:spcPct val="90000"/>
            </a:lnSpc>
            <a:spcBef>
              <a:spcPct val="0"/>
            </a:spcBef>
            <a:spcAft>
              <a:spcPct val="15000"/>
            </a:spcAft>
            <a:buChar char="•"/>
          </a:pPr>
          <a:r>
            <a:rPr lang="en-US" sz="1200" kern="1200"/>
            <a:t>Read the contents of the credit sheet carefully and fill in appropriate information in the light-red coloured cells.</a:t>
          </a:r>
        </a:p>
        <a:p>
          <a:pPr marL="114300" lvl="1" indent="-114300" algn="l" defTabSz="533400">
            <a:lnSpc>
              <a:spcPct val="90000"/>
            </a:lnSpc>
            <a:spcBef>
              <a:spcPct val="0"/>
            </a:spcBef>
            <a:spcAft>
              <a:spcPct val="15000"/>
            </a:spcAft>
            <a:buChar char="•"/>
          </a:pPr>
          <a:r>
            <a:rPr lang="en-US" sz="1200" kern="1200"/>
            <a:t>The User Tool will automatically perform all the calculations and provide the results.</a:t>
          </a:r>
        </a:p>
      </dsp:txBody>
      <dsp:txXfrm>
        <a:off x="60970" y="4212873"/>
        <a:ext cx="9965038" cy="1127035"/>
      </dsp:txXfrm>
    </dsp:sp>
    <dsp:sp modelId="{971B44BE-E44E-4022-8567-1BF31102C850}">
      <dsp:nvSpPr>
        <dsp:cNvPr id="0" name=""/>
        <dsp:cNvSpPr/>
      </dsp:nvSpPr>
      <dsp:spPr>
        <a:xfrm>
          <a:off x="504348" y="4019782"/>
          <a:ext cx="7060884" cy="324000"/>
        </a:xfrm>
        <a:prstGeom prst="roundRect">
          <a:avLst/>
        </a:prstGeom>
        <a:solidFill>
          <a:srgbClr val="76923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66885" tIns="0" rIns="266885" bIns="0" numCol="1" spcCol="1270" anchor="ctr" anchorCtr="0">
          <a:noAutofit/>
        </a:bodyPr>
        <a:lstStyle/>
        <a:p>
          <a:pPr marL="0" lvl="0" indent="0" algn="l" defTabSz="800100">
            <a:lnSpc>
              <a:spcPct val="90000"/>
            </a:lnSpc>
            <a:spcBef>
              <a:spcPct val="0"/>
            </a:spcBef>
            <a:spcAft>
              <a:spcPct val="35000"/>
            </a:spcAft>
            <a:buNone/>
          </a:pPr>
          <a:r>
            <a:rPr lang="en-US" sz="1800" kern="1200"/>
            <a:t>Step 5: Credit sheets</a:t>
          </a:r>
        </a:p>
      </dsp:txBody>
      <dsp:txXfrm>
        <a:off x="520164" y="4035598"/>
        <a:ext cx="7029252" cy="292368"/>
      </dsp:txXfrm>
    </dsp:sp>
    <dsp:sp modelId="{78BCC2E0-3957-4F5E-B564-9B3EA0ADB56F}">
      <dsp:nvSpPr>
        <dsp:cNvPr id="0" name=""/>
        <dsp:cNvSpPr/>
      </dsp:nvSpPr>
      <dsp:spPr>
        <a:xfrm>
          <a:off x="0" y="5603199"/>
          <a:ext cx="10086978" cy="1153020"/>
        </a:xfrm>
        <a:prstGeom prst="roundRect">
          <a:avLst/>
        </a:prstGeom>
        <a:solidFill>
          <a:schemeClr val="bg1">
            <a:lumMod val="85000"/>
            <a:alpha val="90000"/>
          </a:schemeClr>
        </a:solidFill>
        <a:ln w="1270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862" tIns="208280" rIns="782862" bIns="85344" numCol="1" spcCol="1270" anchor="t" anchorCtr="0">
          <a:noAutofit/>
        </a:bodyPr>
        <a:lstStyle/>
        <a:p>
          <a:pPr marL="114300" lvl="1" indent="-114300" algn="l" defTabSz="533400">
            <a:lnSpc>
              <a:spcPct val="90000"/>
            </a:lnSpc>
            <a:spcBef>
              <a:spcPct val="0"/>
            </a:spcBef>
            <a:spcAft>
              <a:spcPct val="15000"/>
            </a:spcAft>
            <a:buChar char="•"/>
          </a:pPr>
          <a:r>
            <a:rPr lang="en-US" sz="1200" kern="1200"/>
            <a:t>Refer to the 2 sheets 'Pre-assessment checklist' and 'Certification stage checklist ' for a list of mandatory requirements before making submissions for pre-assessment stage and certification stage</a:t>
          </a:r>
        </a:p>
        <a:p>
          <a:pPr marL="114300" lvl="1" indent="-114300" algn="l" defTabSz="533400">
            <a:lnSpc>
              <a:spcPct val="90000"/>
            </a:lnSpc>
            <a:spcBef>
              <a:spcPct val="0"/>
            </a:spcBef>
            <a:spcAft>
              <a:spcPct val="15000"/>
            </a:spcAft>
            <a:buChar char="•"/>
          </a:pPr>
          <a:endParaRPr lang="en-US" sz="1200" kern="1200"/>
        </a:p>
      </dsp:txBody>
      <dsp:txXfrm>
        <a:off x="56286" y="5659485"/>
        <a:ext cx="9974406" cy="1040448"/>
      </dsp:txXfrm>
    </dsp:sp>
    <dsp:sp modelId="{6893759E-6629-489E-80C8-992D30467335}">
      <dsp:nvSpPr>
        <dsp:cNvPr id="0" name=""/>
        <dsp:cNvSpPr/>
      </dsp:nvSpPr>
      <dsp:spPr>
        <a:xfrm>
          <a:off x="504348" y="5471078"/>
          <a:ext cx="7060884" cy="324000"/>
        </a:xfrm>
        <a:prstGeom prst="roundRect">
          <a:avLst/>
        </a:prstGeom>
        <a:solidFill>
          <a:srgbClr val="76923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66885" tIns="0" rIns="266885" bIns="0" numCol="1" spcCol="1270" anchor="ctr" anchorCtr="0">
          <a:noAutofit/>
        </a:bodyPr>
        <a:lstStyle/>
        <a:p>
          <a:pPr marL="0" lvl="0" indent="0" algn="l" defTabSz="800100">
            <a:lnSpc>
              <a:spcPct val="90000"/>
            </a:lnSpc>
            <a:spcBef>
              <a:spcPct val="0"/>
            </a:spcBef>
            <a:spcAft>
              <a:spcPct val="35000"/>
            </a:spcAft>
            <a:buNone/>
          </a:pPr>
          <a:r>
            <a:rPr lang="en-US" sz="1800" kern="1200"/>
            <a:t>Step 6: Submission Checklists</a:t>
          </a:r>
        </a:p>
      </dsp:txBody>
      <dsp:txXfrm>
        <a:off x="520164" y="5486894"/>
        <a:ext cx="7029252" cy="292368"/>
      </dsp:txXfrm>
    </dsp:sp>
    <dsp:sp modelId="{728DACDB-3CC3-454A-9AD6-5D5CF970331D}">
      <dsp:nvSpPr>
        <dsp:cNvPr id="0" name=""/>
        <dsp:cNvSpPr/>
      </dsp:nvSpPr>
      <dsp:spPr>
        <a:xfrm>
          <a:off x="0" y="6958541"/>
          <a:ext cx="10086978" cy="760072"/>
        </a:xfrm>
        <a:prstGeom prst="roundRect">
          <a:avLst/>
        </a:prstGeom>
        <a:solidFill>
          <a:schemeClr val="bg1">
            <a:lumMod val="85000"/>
            <a:alpha val="9000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862" tIns="208280" rIns="782862" bIns="85344" numCol="1" spcCol="1270" anchor="ctr" anchorCtr="0">
          <a:noAutofit/>
        </a:bodyPr>
        <a:lstStyle/>
        <a:p>
          <a:pPr marL="114300" lvl="1" indent="-114300" algn="l" defTabSz="533400">
            <a:lnSpc>
              <a:spcPct val="90000"/>
            </a:lnSpc>
            <a:spcBef>
              <a:spcPct val="0"/>
            </a:spcBef>
            <a:spcAft>
              <a:spcPct val="15000"/>
            </a:spcAft>
            <a:buChar char="•"/>
          </a:pPr>
          <a:r>
            <a:rPr lang="en-US" sz="1200" kern="1200"/>
            <a:t>The Glossary sheet defines all the important terms necessary to follow LOTUS</a:t>
          </a:r>
          <a:r>
            <a:rPr lang="en-US" sz="1200" kern="1200" baseline="-25000"/>
            <a:t> </a:t>
          </a:r>
          <a:r>
            <a:rPr lang="en-US" sz="1200" kern="1200"/>
            <a:t>Public Buildings Certification.</a:t>
          </a:r>
        </a:p>
        <a:p>
          <a:pPr marL="114300" lvl="1" indent="-114300" algn="l" defTabSz="533400">
            <a:lnSpc>
              <a:spcPct val="100000"/>
            </a:lnSpc>
            <a:spcBef>
              <a:spcPct val="0"/>
            </a:spcBef>
            <a:spcAft>
              <a:spcPts val="0"/>
            </a:spcAft>
            <a:buChar char="•"/>
          </a:pPr>
          <a:r>
            <a:rPr lang="en-US" sz="1200" kern="1200"/>
            <a:t>The Resources sheet contains further guidance and information on some credits.</a:t>
          </a:r>
        </a:p>
      </dsp:txBody>
      <dsp:txXfrm>
        <a:off x="37104" y="6995645"/>
        <a:ext cx="10012770" cy="685864"/>
      </dsp:txXfrm>
    </dsp:sp>
    <dsp:sp modelId="{CFF7251A-48E3-4A5E-9073-9D3283E4685E}">
      <dsp:nvSpPr>
        <dsp:cNvPr id="0" name=""/>
        <dsp:cNvSpPr/>
      </dsp:nvSpPr>
      <dsp:spPr>
        <a:xfrm>
          <a:off x="504348" y="6826420"/>
          <a:ext cx="7060884" cy="324000"/>
        </a:xfrm>
        <a:prstGeom prst="roundRect">
          <a:avLst/>
        </a:prstGeom>
        <a:solidFill>
          <a:srgbClr val="76923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66885" tIns="0" rIns="266885" bIns="0" numCol="1" spcCol="1270" anchor="ctr" anchorCtr="0">
          <a:noAutofit/>
        </a:bodyPr>
        <a:lstStyle/>
        <a:p>
          <a:pPr marL="0" lvl="0" indent="0" algn="l" defTabSz="800100">
            <a:lnSpc>
              <a:spcPct val="90000"/>
            </a:lnSpc>
            <a:spcBef>
              <a:spcPct val="0"/>
            </a:spcBef>
            <a:spcAft>
              <a:spcPct val="35000"/>
            </a:spcAft>
            <a:buNone/>
          </a:pPr>
          <a:r>
            <a:rPr lang="en-US" sz="1800" kern="1200"/>
            <a:t>Step 7: Glossary and Resources</a:t>
          </a:r>
        </a:p>
      </dsp:txBody>
      <dsp:txXfrm>
        <a:off x="520164" y="6842236"/>
        <a:ext cx="7029252" cy="292368"/>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B3AFA4A-1BF0-4AA4-A26A-0365F51F9645}">
      <dsp:nvSpPr>
        <dsp:cNvPr id="0" name=""/>
        <dsp:cNvSpPr/>
      </dsp:nvSpPr>
      <dsp:spPr>
        <a:xfrm>
          <a:off x="1302283" y="1485516"/>
          <a:ext cx="2481251" cy="2481251"/>
        </a:xfrm>
        <a:prstGeom prst="ellipse">
          <a:avLst/>
        </a:prstGeom>
        <a:solidFill>
          <a:srgbClr val="76923C">
            <a:alpha val="50000"/>
          </a:srgb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44450" tIns="44450" rIns="44450" bIns="44450" numCol="1" spcCol="1270" anchor="ctr" anchorCtr="0">
          <a:noAutofit/>
        </a:bodyPr>
        <a:lstStyle/>
        <a:p>
          <a:pPr marL="0" lvl="0" indent="0" algn="ctr" defTabSz="1555750">
            <a:lnSpc>
              <a:spcPct val="90000"/>
            </a:lnSpc>
            <a:spcBef>
              <a:spcPct val="0"/>
            </a:spcBef>
            <a:spcAft>
              <a:spcPct val="35000"/>
            </a:spcAft>
            <a:buNone/>
          </a:pPr>
          <a:r>
            <a:rPr lang="en-US" sz="3500" kern="1200">
              <a:solidFill>
                <a:schemeClr val="bg1"/>
              </a:solidFill>
            </a:rPr>
            <a:t>LOTUS Small   Buildings</a:t>
          </a:r>
        </a:p>
      </dsp:txBody>
      <dsp:txXfrm>
        <a:off x="1665654" y="1848887"/>
        <a:ext cx="1754509" cy="1754509"/>
      </dsp:txXfrm>
    </dsp:sp>
    <dsp:sp modelId="{1C293624-15C3-49C9-B1E0-40E743F6674E}">
      <dsp:nvSpPr>
        <dsp:cNvPr id="0" name=""/>
        <dsp:cNvSpPr/>
      </dsp:nvSpPr>
      <dsp:spPr>
        <a:xfrm>
          <a:off x="1833982" y="149490"/>
          <a:ext cx="1417853" cy="1417853"/>
        </a:xfrm>
        <a:prstGeom prst="ellipse">
          <a:avLst/>
        </a:prstGeom>
        <a:solidFill>
          <a:srgbClr val="58AB27">
            <a:alpha val="50000"/>
          </a:srgb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19050" tIns="19050" rIns="19050" bIns="19050" numCol="1" spcCol="1270" anchor="ctr" anchorCtr="0">
          <a:noAutofit/>
        </a:bodyPr>
        <a:lstStyle/>
        <a:p>
          <a:pPr marL="0" lvl="0" indent="0" algn="ctr" defTabSz="666750">
            <a:lnSpc>
              <a:spcPct val="90000"/>
            </a:lnSpc>
            <a:spcBef>
              <a:spcPct val="0"/>
            </a:spcBef>
            <a:spcAft>
              <a:spcPct val="35000"/>
            </a:spcAft>
            <a:buNone/>
          </a:pPr>
          <a:endParaRPr lang="en-US" sz="1500" kern="1200"/>
        </a:p>
      </dsp:txBody>
      <dsp:txXfrm>
        <a:off x="2041622" y="357130"/>
        <a:ext cx="1002573" cy="1002573"/>
      </dsp:txXfrm>
    </dsp:sp>
    <dsp:sp modelId="{C7972613-520C-4733-9CDA-EA54C2164035}">
      <dsp:nvSpPr>
        <dsp:cNvPr id="0" name=""/>
        <dsp:cNvSpPr/>
      </dsp:nvSpPr>
      <dsp:spPr>
        <a:xfrm>
          <a:off x="3294228" y="852707"/>
          <a:ext cx="1417853" cy="1417853"/>
        </a:xfrm>
        <a:prstGeom prst="ellipse">
          <a:avLst/>
        </a:prstGeom>
        <a:solidFill>
          <a:srgbClr val="0070C0">
            <a:alpha val="50000"/>
          </a:srgb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endParaRPr lang="en-US" sz="1800" kern="1200">
            <a:solidFill>
              <a:schemeClr val="bg1"/>
            </a:solidFill>
          </a:endParaRPr>
        </a:p>
      </dsp:txBody>
      <dsp:txXfrm>
        <a:off x="3501868" y="1060347"/>
        <a:ext cx="1002573" cy="1002573"/>
      </dsp:txXfrm>
    </dsp:sp>
    <dsp:sp modelId="{8FC99862-EC81-40F7-A971-4E4D663EE19C}">
      <dsp:nvSpPr>
        <dsp:cNvPr id="0" name=""/>
        <dsp:cNvSpPr/>
      </dsp:nvSpPr>
      <dsp:spPr>
        <a:xfrm>
          <a:off x="3654879" y="2432822"/>
          <a:ext cx="1417853" cy="1417853"/>
        </a:xfrm>
        <a:prstGeom prst="ellipse">
          <a:avLst/>
        </a:prstGeom>
        <a:solidFill>
          <a:srgbClr val="5F4970">
            <a:alpha val="50000"/>
          </a:srgb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76200" tIns="76200" rIns="76200" bIns="76200" numCol="1" spcCol="1270" anchor="ctr" anchorCtr="0">
          <a:noAutofit/>
        </a:bodyPr>
        <a:lstStyle/>
        <a:p>
          <a:pPr marL="0" lvl="0" indent="0" algn="ctr" defTabSz="2667000">
            <a:lnSpc>
              <a:spcPct val="90000"/>
            </a:lnSpc>
            <a:spcBef>
              <a:spcPct val="0"/>
            </a:spcBef>
            <a:spcAft>
              <a:spcPct val="35000"/>
            </a:spcAft>
            <a:buNone/>
          </a:pPr>
          <a:endParaRPr lang="en-US" sz="6000" kern="1200">
            <a:solidFill>
              <a:schemeClr val="bg1"/>
            </a:solidFill>
          </a:endParaRPr>
        </a:p>
      </dsp:txBody>
      <dsp:txXfrm>
        <a:off x="3862519" y="2640462"/>
        <a:ext cx="1002573" cy="1002573"/>
      </dsp:txXfrm>
    </dsp:sp>
    <dsp:sp modelId="{A341F029-7297-499C-8A98-0D936F7AEE7B}">
      <dsp:nvSpPr>
        <dsp:cNvPr id="0" name=""/>
        <dsp:cNvSpPr/>
      </dsp:nvSpPr>
      <dsp:spPr>
        <a:xfrm>
          <a:off x="2644357" y="3699976"/>
          <a:ext cx="1417853" cy="1417853"/>
        </a:xfrm>
        <a:prstGeom prst="ellipse">
          <a:avLst/>
        </a:prstGeom>
        <a:solidFill>
          <a:srgbClr val="943634">
            <a:alpha val="50000"/>
          </a:srgb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76200" tIns="76200" rIns="76200" bIns="76200" numCol="1" spcCol="1270" anchor="ctr" anchorCtr="0">
          <a:noAutofit/>
        </a:bodyPr>
        <a:lstStyle/>
        <a:p>
          <a:pPr marL="0" lvl="0" indent="0" algn="ctr" defTabSz="2667000">
            <a:lnSpc>
              <a:spcPct val="90000"/>
            </a:lnSpc>
            <a:spcBef>
              <a:spcPct val="0"/>
            </a:spcBef>
            <a:spcAft>
              <a:spcPct val="35000"/>
            </a:spcAft>
            <a:buNone/>
          </a:pPr>
          <a:endParaRPr lang="en-US" sz="6000" kern="1200">
            <a:solidFill>
              <a:schemeClr val="bg1"/>
            </a:solidFill>
          </a:endParaRPr>
        </a:p>
      </dsp:txBody>
      <dsp:txXfrm>
        <a:off x="2851997" y="3907616"/>
        <a:ext cx="1002573" cy="1002573"/>
      </dsp:txXfrm>
    </dsp:sp>
    <dsp:sp modelId="{84DAD140-45D7-476A-A9A6-72ABD5DDE66C}">
      <dsp:nvSpPr>
        <dsp:cNvPr id="0" name=""/>
        <dsp:cNvSpPr/>
      </dsp:nvSpPr>
      <dsp:spPr>
        <a:xfrm>
          <a:off x="1023606" y="3699976"/>
          <a:ext cx="1417853" cy="1417853"/>
        </a:xfrm>
        <a:prstGeom prst="ellipse">
          <a:avLst/>
        </a:prstGeom>
        <a:solidFill>
          <a:srgbClr val="76923C">
            <a:alpha val="50000"/>
          </a:srgb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76200" tIns="76200" rIns="76200" bIns="76200" numCol="1" spcCol="1270" anchor="ctr" anchorCtr="0">
          <a:noAutofit/>
        </a:bodyPr>
        <a:lstStyle/>
        <a:p>
          <a:pPr marL="0" lvl="0" indent="0" algn="ctr" defTabSz="2667000">
            <a:lnSpc>
              <a:spcPct val="90000"/>
            </a:lnSpc>
            <a:spcBef>
              <a:spcPct val="0"/>
            </a:spcBef>
            <a:spcAft>
              <a:spcPct val="35000"/>
            </a:spcAft>
            <a:buNone/>
          </a:pPr>
          <a:endParaRPr lang="en-US" sz="6000" kern="1200">
            <a:solidFill>
              <a:schemeClr val="bg1"/>
            </a:solidFill>
          </a:endParaRPr>
        </a:p>
      </dsp:txBody>
      <dsp:txXfrm>
        <a:off x="1231246" y="3907616"/>
        <a:ext cx="1002573" cy="1002573"/>
      </dsp:txXfrm>
    </dsp:sp>
    <dsp:sp modelId="{7689C41F-26FF-4BD4-9010-404E427C92CB}">
      <dsp:nvSpPr>
        <dsp:cNvPr id="0" name=""/>
        <dsp:cNvSpPr/>
      </dsp:nvSpPr>
      <dsp:spPr>
        <a:xfrm>
          <a:off x="5417" y="2425155"/>
          <a:ext cx="1433189" cy="1433189"/>
        </a:xfrm>
        <a:prstGeom prst="ellipse">
          <a:avLst/>
        </a:prstGeom>
        <a:solidFill>
          <a:srgbClr val="984806">
            <a:alpha val="50000"/>
          </a:srgb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endParaRPr lang="en-US" sz="1600" kern="1200">
            <a:solidFill>
              <a:schemeClr val="bg1"/>
            </a:solidFill>
          </a:endParaRPr>
        </a:p>
      </dsp:txBody>
      <dsp:txXfrm>
        <a:off x="215303" y="2635041"/>
        <a:ext cx="1013417" cy="1013417"/>
      </dsp:txXfrm>
    </dsp:sp>
    <dsp:sp modelId="{15354715-D3E2-417D-A84A-96E52C408F02}">
      <dsp:nvSpPr>
        <dsp:cNvPr id="0" name=""/>
        <dsp:cNvSpPr/>
      </dsp:nvSpPr>
      <dsp:spPr>
        <a:xfrm>
          <a:off x="373736" y="852707"/>
          <a:ext cx="1417853" cy="1417853"/>
        </a:xfrm>
        <a:prstGeom prst="ellipse">
          <a:avLst/>
        </a:prstGeom>
        <a:solidFill>
          <a:srgbClr val="FFC000">
            <a:alpha val="50000"/>
          </a:srgb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endParaRPr lang="en-US" sz="1600" kern="1200">
            <a:solidFill>
              <a:schemeClr val="bg1"/>
            </a:solidFill>
          </a:endParaRPr>
        </a:p>
      </dsp:txBody>
      <dsp:txXfrm>
        <a:off x="581376" y="1060347"/>
        <a:ext cx="1002573" cy="1002573"/>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radial3">
  <dgm:title val=""/>
  <dgm:desc val=""/>
  <dgm:catLst>
    <dgm:cat type="relationship" pri="31000"/>
    <dgm:cat type="cycle" pri="12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composite">
    <dgm:varLst>
      <dgm:chMax val="1"/>
      <dgm:dir/>
      <dgm:resizeHandles val="exact"/>
    </dgm:varLst>
    <dgm:alg type="composite">
      <dgm:param type="ar" val="1"/>
    </dgm:alg>
    <dgm:shape xmlns:r="http://schemas.openxmlformats.org/officeDocument/2006/relationships" r:blip="">
      <dgm:adjLst/>
    </dgm:shape>
    <dgm:presOf/>
    <dgm:constrLst/>
    <dgm:ruleLst/>
    <dgm:layoutNode name="radial">
      <dgm:varLst>
        <dgm:animLvl val="ctr"/>
      </dgm:varLst>
      <dgm:choose name="Name0">
        <dgm:if name="Name1" func="var" arg="dir" op="equ" val="norm">
          <dgm:choose name="Name2">
            <dgm:if name="Name3" axis="ch ch" ptType="node node" st="1 1" cnt="1 0" func="cnt" op="lte" val="1">
              <dgm:alg type="cycle">
                <dgm:param type="stAng" val="90"/>
                <dgm:param type="spanAng" val="360"/>
                <dgm:param type="ctrShpMap" val="fNode"/>
              </dgm:alg>
            </dgm:if>
            <dgm:else name="Name4">
              <dgm:alg type="cycle">
                <dgm:param type="stAng" val="0"/>
                <dgm:param type="spanAng" val="360"/>
                <dgm:param type="ctrShpMap" val="fNode"/>
              </dgm:alg>
            </dgm:else>
          </dgm:choose>
        </dgm:if>
        <dgm:else name="Name5">
          <dgm:alg type="cycle">
            <dgm:param type="stAng" val="0"/>
            <dgm:param type="spanAng" val="-360"/>
            <dgm:param type="ctrShpMap" val="fNode"/>
          </dgm:alg>
        </dgm:else>
      </dgm:choose>
      <dgm:shape xmlns:r="http://schemas.openxmlformats.org/officeDocument/2006/relationships" r:blip="">
        <dgm:adjLst/>
      </dgm:shape>
      <dgm:presOf/>
      <dgm:constrLst>
        <dgm:constr type="w" for="ch" forName="centerShape" refType="w"/>
        <dgm:constr type="h" for="ch" forName="centerShape" refType="h"/>
        <dgm:constr type="w" for="ch" forName="node" refType="w" fact="0.5"/>
        <dgm:constr type="h" for="ch" forName="node" refType="h" fact="0.5"/>
        <dgm:constr type="sp" refType="w" refFor="ch" refForName="node" fact="-0.2"/>
        <dgm:constr type="sibSp" refType="w" refFor="ch" refForName="node" fact="-0.2"/>
        <dgm:constr type="primFontSz" for="ch" forName="centerShape" val="65"/>
        <dgm:constr type="primFontSz" for="des" forName="node" val="65"/>
        <dgm:constr type="primFontSz" for="ch" forName="node" refType="primFontSz" refFor="ch" refForName="centerShape" op="lte"/>
      </dgm:constrLst>
      <dgm:ruleLst/>
      <dgm:forEach name="Name6" axis="ch" ptType="node" cnt="1">
        <dgm:layoutNode name="centerShape" styleLbl="vennNode1">
          <dgm:alg type="tx"/>
          <dgm:shape xmlns:r="http://schemas.openxmlformats.org/officeDocument/2006/relationships" type="ellipse" r:blip="">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7" axis="ch" ptType="node">
          <dgm:layoutNode name="node" styleLbl="vennNode1">
            <dgm:varLst>
              <dgm:bulletEnabled val="1"/>
            </dgm:varLst>
            <dgm:alg type="tx">
              <dgm:param type="txAnchorVertCh" val="mid"/>
            </dgm:alg>
            <dgm:shape xmlns:r="http://schemas.openxmlformats.org/officeDocument/2006/relationships" type="ellipse" r:blip="">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Acknowledgments!A1"/><Relationship Id="rId3" Type="http://schemas.openxmlformats.org/officeDocument/2006/relationships/hyperlink" Target="http://vgbc.org.vn/" TargetMode="External"/><Relationship Id="rId7" Type="http://schemas.openxmlformats.org/officeDocument/2006/relationships/hyperlink" Target="#Scorecard!K2"/><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hyperlink" Target="#Introduction!M3"/><Relationship Id="rId4"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hyperlink" Target="#Energy!K2"/><Relationship Id="rId13" Type="http://schemas.openxmlformats.org/officeDocument/2006/relationships/image" Target="../media/image54.png"/><Relationship Id="rId18" Type="http://schemas.openxmlformats.org/officeDocument/2006/relationships/hyperlink" Target="#Innovation!K2"/><Relationship Id="rId3" Type="http://schemas.openxmlformats.org/officeDocument/2006/relationships/diagramQuickStyle" Target="../diagrams/quickStyle2.xml"/><Relationship Id="rId21" Type="http://schemas.openxmlformats.org/officeDocument/2006/relationships/hyperlink" Target="#Introduction!M3"/><Relationship Id="rId7" Type="http://schemas.openxmlformats.org/officeDocument/2006/relationships/image" Target="../media/image51.png"/><Relationship Id="rId12" Type="http://schemas.openxmlformats.org/officeDocument/2006/relationships/hyperlink" Target="#'Health &amp; Comfort'!K2"/><Relationship Id="rId17" Type="http://schemas.openxmlformats.org/officeDocument/2006/relationships/image" Target="../media/image56.png"/><Relationship Id="rId2" Type="http://schemas.openxmlformats.org/officeDocument/2006/relationships/diagramLayout" Target="../diagrams/layout2.xml"/><Relationship Id="rId16" Type="http://schemas.openxmlformats.org/officeDocument/2006/relationships/hyperlink" Target="#'Community &amp; Management'!K2"/><Relationship Id="rId20" Type="http://schemas.openxmlformats.org/officeDocument/2006/relationships/hyperlink" Target="#Instructions!M4"/><Relationship Id="rId1" Type="http://schemas.openxmlformats.org/officeDocument/2006/relationships/diagramData" Target="../diagrams/data2.xml"/><Relationship Id="rId6" Type="http://schemas.openxmlformats.org/officeDocument/2006/relationships/hyperlink" Target="#Materials!K2"/><Relationship Id="rId11" Type="http://schemas.openxmlformats.org/officeDocument/2006/relationships/image" Target="../media/image53.png"/><Relationship Id="rId24" Type="http://schemas.openxmlformats.org/officeDocument/2006/relationships/hyperlink" Target="#'Graphical Results'!J10"/><Relationship Id="rId5" Type="http://schemas.microsoft.com/office/2007/relationships/diagramDrawing" Target="../diagrams/drawing2.xml"/><Relationship Id="rId15" Type="http://schemas.openxmlformats.org/officeDocument/2006/relationships/image" Target="../media/image55.png"/><Relationship Id="rId23" Type="http://schemas.openxmlformats.org/officeDocument/2006/relationships/image" Target="../media/image2.jpeg"/><Relationship Id="rId10" Type="http://schemas.openxmlformats.org/officeDocument/2006/relationships/hyperlink" Target="#Water!K2"/><Relationship Id="rId19" Type="http://schemas.openxmlformats.org/officeDocument/2006/relationships/image" Target="../media/image57.png"/><Relationship Id="rId4" Type="http://schemas.openxmlformats.org/officeDocument/2006/relationships/diagramColors" Target="../diagrams/colors2.xml"/><Relationship Id="rId9" Type="http://schemas.openxmlformats.org/officeDocument/2006/relationships/image" Target="../media/image52.png"/><Relationship Id="rId14" Type="http://schemas.openxmlformats.org/officeDocument/2006/relationships/hyperlink" Target="#'Local Environment'!K2"/><Relationship Id="rId22" Type="http://schemas.openxmlformats.org/officeDocument/2006/relationships/hyperlink" Target="http://vgbc.org.vn/" TargetMode="External"/></Relationships>
</file>

<file path=xl/drawings/_rels/drawing1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hyperlink" Target="#Introduction!M3"/><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Instructions!M4"/><Relationship Id="rId5" Type="http://schemas.openxmlformats.org/officeDocument/2006/relationships/hyperlink" Target="#Scorecard!K2"/><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2" Type="http://schemas.openxmlformats.org/officeDocument/2006/relationships/hyperlink" Target="#Scorecard!K2"/><Relationship Id="rId1" Type="http://schemas.openxmlformats.org/officeDocument/2006/relationships/image" Target="../media/image5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60.png"/><Relationship Id="rId3" Type="http://schemas.openxmlformats.org/officeDocument/2006/relationships/hyperlink" Target="#'E-1 Passive Design'!A77:M140"/><Relationship Id="rId7" Type="http://schemas.openxmlformats.org/officeDocument/2006/relationships/image" Target="../media/image59.png"/><Relationship Id="rId12" Type="http://schemas.openxmlformats.org/officeDocument/2006/relationships/hyperlink" Target="#Resources!A3:R61"/><Relationship Id="rId2" Type="http://schemas.openxmlformats.org/officeDocument/2006/relationships/hyperlink" Target="#'E-1 Passive Design'!A49:M76"/><Relationship Id="rId1" Type="http://schemas.openxmlformats.org/officeDocument/2006/relationships/hyperlink" Target="#'E-1 Passive Design'!A17:M48"/><Relationship Id="rId6" Type="http://schemas.openxmlformats.org/officeDocument/2006/relationships/image" Target="../media/image58.png"/><Relationship Id="rId11" Type="http://schemas.openxmlformats.org/officeDocument/2006/relationships/hyperlink" Target="#'E-1 Passive Design'!A9"/><Relationship Id="rId5" Type="http://schemas.openxmlformats.org/officeDocument/2006/relationships/hyperlink" Target="#Scorecard!K2"/><Relationship Id="rId10" Type="http://schemas.openxmlformats.org/officeDocument/2006/relationships/image" Target="../media/image62.png"/><Relationship Id="rId4" Type="http://schemas.openxmlformats.org/officeDocument/2006/relationships/hyperlink" Target="#Energy!K2"/><Relationship Id="rId9" Type="http://schemas.openxmlformats.org/officeDocument/2006/relationships/image" Target="../media/image61.png"/></Relationships>
</file>

<file path=xl/drawings/_rels/drawing15.xml.rels><?xml version="1.0" encoding="UTF-8" standalone="yes"?>
<Relationships xmlns="http://schemas.openxmlformats.org/package/2006/relationships"><Relationship Id="rId8" Type="http://schemas.openxmlformats.org/officeDocument/2006/relationships/hyperlink" Target="#'E-2 Building Envelope'!A63:N95"/><Relationship Id="rId13" Type="http://schemas.openxmlformats.org/officeDocument/2006/relationships/hyperlink" Target="#'E-2 Building Envelope'!A261:N301"/><Relationship Id="rId3" Type="http://schemas.openxmlformats.org/officeDocument/2006/relationships/hyperlink" Target="#'E-2 Building Envelope'!A170:M301"/><Relationship Id="rId7" Type="http://schemas.openxmlformats.org/officeDocument/2006/relationships/hyperlink" Target="#'E-2 Building Envelope'!A30:N62"/><Relationship Id="rId12" Type="http://schemas.openxmlformats.org/officeDocument/2006/relationships/hyperlink" Target="#'E-2 Building Envelope'!A209:N260"/><Relationship Id="rId17" Type="http://schemas.openxmlformats.org/officeDocument/2006/relationships/hyperlink" Target="#'E-2 Building Envelope'!A9"/><Relationship Id="rId2" Type="http://schemas.openxmlformats.org/officeDocument/2006/relationships/hyperlink" Target="#'E-2 Building Envelope'!A26:M115"/><Relationship Id="rId16" Type="http://schemas.openxmlformats.org/officeDocument/2006/relationships/hyperlink" Target="#Resources!A3:R61"/><Relationship Id="rId1" Type="http://schemas.openxmlformats.org/officeDocument/2006/relationships/hyperlink" Target="#Energy!K2"/><Relationship Id="rId6" Type="http://schemas.openxmlformats.org/officeDocument/2006/relationships/image" Target="../media/image59.png"/><Relationship Id="rId11" Type="http://schemas.openxmlformats.org/officeDocument/2006/relationships/hyperlink" Target="#'E-2 Building Envelope'!A174:N208"/><Relationship Id="rId5" Type="http://schemas.openxmlformats.org/officeDocument/2006/relationships/image" Target="../media/image61.png"/><Relationship Id="rId15" Type="http://schemas.openxmlformats.org/officeDocument/2006/relationships/image" Target="../media/image62.png"/><Relationship Id="rId10" Type="http://schemas.openxmlformats.org/officeDocument/2006/relationships/hyperlink" Target="#'E-2 Building Envelope'!A129:N169"/><Relationship Id="rId4" Type="http://schemas.openxmlformats.org/officeDocument/2006/relationships/hyperlink" Target="#Scorecard!K2"/><Relationship Id="rId9" Type="http://schemas.openxmlformats.org/officeDocument/2006/relationships/hyperlink" Target="#'E-2 Building Envelope'!A96:N128"/><Relationship Id="rId14" Type="http://schemas.openxmlformats.org/officeDocument/2006/relationships/image" Target="../media/image60.png"/></Relationships>
</file>

<file path=xl/drawings/_rels/drawing16.xml.rels><?xml version="1.0" encoding="UTF-8" standalone="yes"?>
<Relationships xmlns="http://schemas.openxmlformats.org/package/2006/relationships"><Relationship Id="rId8" Type="http://schemas.openxmlformats.org/officeDocument/2006/relationships/hyperlink" Target="#'E-3 Building Cooling'!A129:A171"/><Relationship Id="rId13" Type="http://schemas.openxmlformats.org/officeDocument/2006/relationships/hyperlink" Target="#'E-3 Building Cooling'!A9"/><Relationship Id="rId3" Type="http://schemas.openxmlformats.org/officeDocument/2006/relationships/hyperlink" Target="#Energy!K2"/><Relationship Id="rId7" Type="http://schemas.openxmlformats.org/officeDocument/2006/relationships/image" Target="../media/image63.png"/><Relationship Id="rId12" Type="http://schemas.openxmlformats.org/officeDocument/2006/relationships/image" Target="../media/image61.png"/><Relationship Id="rId2" Type="http://schemas.openxmlformats.org/officeDocument/2006/relationships/hyperlink" Target="#'E-3 Building Cooling'!A125:A250"/><Relationship Id="rId1" Type="http://schemas.openxmlformats.org/officeDocument/2006/relationships/hyperlink" Target="#'E-3 Building Cooling'!A33:A124"/><Relationship Id="rId6" Type="http://schemas.openxmlformats.org/officeDocument/2006/relationships/hyperlink" Target="#'E-3 Building Cooling'!A80:A124"/><Relationship Id="rId11" Type="http://schemas.openxmlformats.org/officeDocument/2006/relationships/image" Target="../media/image62.png"/><Relationship Id="rId5" Type="http://schemas.openxmlformats.org/officeDocument/2006/relationships/hyperlink" Target="#'E-3 Building Cooling'!A37:A79"/><Relationship Id="rId10" Type="http://schemas.openxmlformats.org/officeDocument/2006/relationships/image" Target="../media/image59.png"/><Relationship Id="rId4" Type="http://schemas.openxmlformats.org/officeDocument/2006/relationships/hyperlink" Target="#Scorecard!K2"/><Relationship Id="rId9" Type="http://schemas.openxmlformats.org/officeDocument/2006/relationships/hyperlink" Target="#'E-3 Building Cooling'!A172:A249"/><Relationship Id="rId14" Type="http://schemas.openxmlformats.org/officeDocument/2006/relationships/image" Target="../media/image64.emf"/></Relationships>
</file>

<file path=xl/drawings/_rels/drawing17.xml.rels><?xml version="1.0" encoding="UTF-8" standalone="yes"?>
<Relationships xmlns="http://schemas.openxmlformats.org/package/2006/relationships"><Relationship Id="rId8" Type="http://schemas.openxmlformats.org/officeDocument/2006/relationships/hyperlink" Target="#'E-4 Artificial Lighting'!A25:A68"/><Relationship Id="rId13" Type="http://schemas.openxmlformats.org/officeDocument/2006/relationships/image" Target="../media/image67.png"/><Relationship Id="rId3" Type="http://schemas.openxmlformats.org/officeDocument/2006/relationships/image" Target="../media/image60.png"/><Relationship Id="rId7" Type="http://schemas.openxmlformats.org/officeDocument/2006/relationships/image" Target="../media/image65.png"/><Relationship Id="rId12" Type="http://schemas.openxmlformats.org/officeDocument/2006/relationships/image" Target="../media/image66.png"/><Relationship Id="rId2" Type="http://schemas.openxmlformats.org/officeDocument/2006/relationships/hyperlink" Target="#Scorecard!K2"/><Relationship Id="rId16" Type="http://schemas.openxmlformats.org/officeDocument/2006/relationships/hyperlink" Target="#'E-4 Artificial Lighting'!A189:A260"/><Relationship Id="rId1" Type="http://schemas.openxmlformats.org/officeDocument/2006/relationships/hyperlink" Target="#Energy!K2"/><Relationship Id="rId6" Type="http://schemas.openxmlformats.org/officeDocument/2006/relationships/hyperlink" Target="#'E-4 Artificial Lighting'!A9"/><Relationship Id="rId11" Type="http://schemas.openxmlformats.org/officeDocument/2006/relationships/hyperlink" Target="#'E-4 Artificial Lighting'!A132:A188"/><Relationship Id="rId5" Type="http://schemas.openxmlformats.org/officeDocument/2006/relationships/image" Target="../media/image61.png"/><Relationship Id="rId15" Type="http://schemas.openxmlformats.org/officeDocument/2006/relationships/image" Target="../media/image62.png"/><Relationship Id="rId10" Type="http://schemas.openxmlformats.org/officeDocument/2006/relationships/hyperlink" Target="#'E-4 Artificial Lighting'!A21:A131"/><Relationship Id="rId4" Type="http://schemas.openxmlformats.org/officeDocument/2006/relationships/image" Target="../media/image59.png"/><Relationship Id="rId9" Type="http://schemas.openxmlformats.org/officeDocument/2006/relationships/hyperlink" Target="#'E-4 Artificial Lighting'!A69:A131"/><Relationship Id="rId14" Type="http://schemas.openxmlformats.org/officeDocument/2006/relationships/image" Target="../media/image68.png"/></Relationships>
</file>

<file path=xl/drawings/_rels/drawing18.xml.rels><?xml version="1.0" encoding="UTF-8" standalone="yes"?>
<Relationships xmlns="http://schemas.openxmlformats.org/package/2006/relationships"><Relationship Id="rId3" Type="http://schemas.openxmlformats.org/officeDocument/2006/relationships/hyperlink" Target="#Energy!K2"/><Relationship Id="rId7" Type="http://schemas.openxmlformats.org/officeDocument/2006/relationships/hyperlink" Target="#'E-5 Water Heating'!A9"/><Relationship Id="rId2" Type="http://schemas.openxmlformats.org/officeDocument/2006/relationships/hyperlink" Target="#'E-5 Water heating'!A41:S93"/><Relationship Id="rId1" Type="http://schemas.openxmlformats.org/officeDocument/2006/relationships/hyperlink" Target="#'E-5 Water heating'!A17:K40"/><Relationship Id="rId6" Type="http://schemas.openxmlformats.org/officeDocument/2006/relationships/image" Target="../media/image61.png"/><Relationship Id="rId5" Type="http://schemas.openxmlformats.org/officeDocument/2006/relationships/image" Target="../media/image59.png"/><Relationship Id="rId4" Type="http://schemas.openxmlformats.org/officeDocument/2006/relationships/hyperlink" Target="#'LOTUS Homes Scorecard'!L2"/></Relationships>
</file>

<file path=xl/drawings/_rels/drawing19.xml.rels><?xml version="1.0" encoding="UTF-8" standalone="yes"?>
<Relationships xmlns="http://schemas.openxmlformats.org/package/2006/relationships"><Relationship Id="rId8" Type="http://schemas.openxmlformats.org/officeDocument/2006/relationships/image" Target="../media/image70.png"/><Relationship Id="rId3" Type="http://schemas.openxmlformats.org/officeDocument/2006/relationships/image" Target="../media/image59.png"/><Relationship Id="rId7" Type="http://schemas.openxmlformats.org/officeDocument/2006/relationships/image" Target="../media/image69.png"/><Relationship Id="rId12" Type="http://schemas.openxmlformats.org/officeDocument/2006/relationships/image" Target="../media/image71.png"/><Relationship Id="rId2" Type="http://schemas.openxmlformats.org/officeDocument/2006/relationships/hyperlink" Target="#Scorecard!K2"/><Relationship Id="rId1" Type="http://schemas.openxmlformats.org/officeDocument/2006/relationships/hyperlink" Target="#Energy!K2"/><Relationship Id="rId6" Type="http://schemas.openxmlformats.org/officeDocument/2006/relationships/hyperlink" Target="#'E-5 Energy Efficient Appliances'!A9"/><Relationship Id="rId11" Type="http://schemas.openxmlformats.org/officeDocument/2006/relationships/hyperlink" Target="#'E-5 Energy Efficient Appliances'!A75:A120"/><Relationship Id="rId5" Type="http://schemas.openxmlformats.org/officeDocument/2006/relationships/image" Target="../media/image65.png"/><Relationship Id="rId10" Type="http://schemas.openxmlformats.org/officeDocument/2006/relationships/hyperlink" Target="#'E-5 Energy Efficient Appliances'!A16:A74"/><Relationship Id="rId4" Type="http://schemas.openxmlformats.org/officeDocument/2006/relationships/image" Target="../media/image62.png"/><Relationship Id="rId9" Type="http://schemas.openxmlformats.org/officeDocument/2006/relationships/image" Target="../media/image66.png"/></Relationships>
</file>

<file path=xl/drawings/_rels/drawing2.xml.rels><?xml version="1.0" encoding="UTF-8" standalone="yes"?>
<Relationships xmlns="http://schemas.openxmlformats.org/package/2006/relationships"><Relationship Id="rId13" Type="http://schemas.openxmlformats.org/officeDocument/2006/relationships/image" Target="../media/image8.png"/><Relationship Id="rId18" Type="http://schemas.openxmlformats.org/officeDocument/2006/relationships/image" Target="../media/image11.png"/><Relationship Id="rId26" Type="http://schemas.openxmlformats.org/officeDocument/2006/relationships/image" Target="../media/image15.png"/><Relationship Id="rId39" Type="http://schemas.openxmlformats.org/officeDocument/2006/relationships/image" Target="../media/image22.png"/><Relationship Id="rId21" Type="http://schemas.openxmlformats.org/officeDocument/2006/relationships/hyperlink" Target="http://www.greenviet.net/" TargetMode="External"/><Relationship Id="rId34" Type="http://schemas.openxmlformats.org/officeDocument/2006/relationships/image" Target="../media/image19.jpeg"/><Relationship Id="rId42" Type="http://schemas.openxmlformats.org/officeDocument/2006/relationships/hyperlink" Target="http://www.ecowool.com.my/" TargetMode="External"/><Relationship Id="rId47" Type="http://schemas.openxmlformats.org/officeDocument/2006/relationships/image" Target="../media/image26.jpeg"/><Relationship Id="rId50" Type="http://schemas.openxmlformats.org/officeDocument/2006/relationships/hyperlink" Target="http://www.vn.undp.org/" TargetMode="External"/><Relationship Id="rId55" Type="http://schemas.openxmlformats.org/officeDocument/2006/relationships/hyperlink" Target="http://www.iesve.com/" TargetMode="External"/><Relationship Id="rId63" Type="http://schemas.openxmlformats.org/officeDocument/2006/relationships/image" Target="../media/image34.jpeg"/><Relationship Id="rId68" Type="http://schemas.openxmlformats.org/officeDocument/2006/relationships/hyperlink" Target="http://www.fico.com.vn/" TargetMode="External"/><Relationship Id="rId7" Type="http://schemas.openxmlformats.org/officeDocument/2006/relationships/image" Target="../media/image5.jpeg"/><Relationship Id="rId71" Type="http://schemas.openxmlformats.org/officeDocument/2006/relationships/hyperlink" Target="http://tekcom.vn/" TargetMode="External"/><Relationship Id="rId2" Type="http://schemas.openxmlformats.org/officeDocument/2006/relationships/hyperlink" Target="#Instructions!M4"/><Relationship Id="rId16" Type="http://schemas.openxmlformats.org/officeDocument/2006/relationships/hyperlink" Target="http://www.vilandco.com/" TargetMode="External"/><Relationship Id="rId29" Type="http://schemas.openxmlformats.org/officeDocument/2006/relationships/hyperlink" Target="http://www.arteliagroup.com/" TargetMode="External"/><Relationship Id="rId1" Type="http://schemas.openxmlformats.org/officeDocument/2006/relationships/hyperlink" Target="#Scorecard!K2"/><Relationship Id="rId6" Type="http://schemas.openxmlformats.org/officeDocument/2006/relationships/hyperlink" Target="http://www.graphenstone.vn/" TargetMode="External"/><Relationship Id="rId11" Type="http://schemas.openxmlformats.org/officeDocument/2006/relationships/image" Target="../media/image7.png"/><Relationship Id="rId24" Type="http://schemas.openxmlformats.org/officeDocument/2006/relationships/image" Target="../media/image14.png"/><Relationship Id="rId32" Type="http://schemas.openxmlformats.org/officeDocument/2006/relationships/image" Target="../media/image18.png"/><Relationship Id="rId37" Type="http://schemas.openxmlformats.org/officeDocument/2006/relationships/hyperlink" Target="http://www.kone.vn/" TargetMode="External"/><Relationship Id="rId40" Type="http://schemas.openxmlformats.org/officeDocument/2006/relationships/hyperlink" Target="http://www.http/poongcheon-group.com" TargetMode="External"/><Relationship Id="rId45" Type="http://schemas.openxmlformats.org/officeDocument/2006/relationships/image" Target="../media/image25.jpeg"/><Relationship Id="rId53" Type="http://schemas.openxmlformats.org/officeDocument/2006/relationships/hyperlink" Target="http://www.master-builders-solutions.basf.vn/" TargetMode="External"/><Relationship Id="rId58" Type="http://schemas.openxmlformats.org/officeDocument/2006/relationships/image" Target="../media/image31.png"/><Relationship Id="rId66" Type="http://schemas.openxmlformats.org/officeDocument/2006/relationships/image" Target="../media/image36.png"/><Relationship Id="rId5" Type="http://schemas.openxmlformats.org/officeDocument/2006/relationships/image" Target="../media/image4.png"/><Relationship Id="rId15" Type="http://schemas.openxmlformats.org/officeDocument/2006/relationships/image" Target="../media/image9.png"/><Relationship Id="rId23" Type="http://schemas.openxmlformats.org/officeDocument/2006/relationships/hyperlink" Target="http://searefico.com/" TargetMode="External"/><Relationship Id="rId28" Type="http://schemas.openxmlformats.org/officeDocument/2006/relationships/image" Target="../media/image16.png"/><Relationship Id="rId36" Type="http://schemas.openxmlformats.org/officeDocument/2006/relationships/image" Target="../media/image20.png"/><Relationship Id="rId49" Type="http://schemas.openxmlformats.org/officeDocument/2006/relationships/image" Target="../media/image27.png"/><Relationship Id="rId57" Type="http://schemas.openxmlformats.org/officeDocument/2006/relationships/hyperlink" Target="http://www.reeme.com.vn/" TargetMode="External"/><Relationship Id="rId61" Type="http://schemas.openxmlformats.org/officeDocument/2006/relationships/hyperlink" Target="http://www.seas.com.vn/en/" TargetMode="External"/><Relationship Id="rId10" Type="http://schemas.openxmlformats.org/officeDocument/2006/relationships/hyperlink" Target="http://www.saint-gobain.com/" TargetMode="External"/><Relationship Id="rId19" Type="http://schemas.openxmlformats.org/officeDocument/2006/relationships/hyperlink" Target="http://www.bluescope.com.vn/" TargetMode="External"/><Relationship Id="rId31" Type="http://schemas.openxmlformats.org/officeDocument/2006/relationships/hyperlink" Target="http://www.boydensvn.com/" TargetMode="External"/><Relationship Id="rId44" Type="http://schemas.openxmlformats.org/officeDocument/2006/relationships/hyperlink" Target="http://www.ptw.com.au/" TargetMode="External"/><Relationship Id="rId52" Type="http://schemas.openxmlformats.org/officeDocument/2006/relationships/hyperlink" Target="http://acsc.com.vn/gioi-thieu.html" TargetMode="External"/><Relationship Id="rId60" Type="http://schemas.openxmlformats.org/officeDocument/2006/relationships/image" Target="../media/image32.png"/><Relationship Id="rId65" Type="http://schemas.openxmlformats.org/officeDocument/2006/relationships/hyperlink" Target="http://www.hkland.com/" TargetMode="External"/><Relationship Id="rId4" Type="http://schemas.openxmlformats.org/officeDocument/2006/relationships/hyperlink" Target="http://www.bciasia.com/" TargetMode="External"/><Relationship Id="rId9" Type="http://schemas.openxmlformats.org/officeDocument/2006/relationships/image" Target="../media/image6.png"/><Relationship Id="rId14" Type="http://schemas.openxmlformats.org/officeDocument/2006/relationships/hyperlink" Target="http://www.vicostone.com/" TargetMode="External"/><Relationship Id="rId22" Type="http://schemas.openxmlformats.org/officeDocument/2006/relationships/image" Target="../media/image13.png"/><Relationship Id="rId27" Type="http://schemas.openxmlformats.org/officeDocument/2006/relationships/hyperlink" Target="http://www.vnm.sika.com/" TargetMode="External"/><Relationship Id="rId30" Type="http://schemas.openxmlformats.org/officeDocument/2006/relationships/image" Target="../media/image17.png"/><Relationship Id="rId35" Type="http://schemas.openxmlformats.org/officeDocument/2006/relationships/hyperlink" Target="http://vn.grundfos.com/" TargetMode="External"/><Relationship Id="rId43" Type="http://schemas.openxmlformats.org/officeDocument/2006/relationships/image" Target="../media/image24.png"/><Relationship Id="rId48" Type="http://schemas.openxmlformats.org/officeDocument/2006/relationships/hyperlink" Target="http://www.tranevietnam.com/" TargetMode="External"/><Relationship Id="rId56" Type="http://schemas.openxmlformats.org/officeDocument/2006/relationships/image" Target="../media/image30.png"/><Relationship Id="rId64" Type="http://schemas.openxmlformats.org/officeDocument/2006/relationships/image" Target="../media/image35.png"/><Relationship Id="rId69" Type="http://schemas.openxmlformats.org/officeDocument/2006/relationships/image" Target="../media/image38.jpeg"/><Relationship Id="rId8" Type="http://schemas.openxmlformats.org/officeDocument/2006/relationships/hyperlink" Target="http://www.greenconsult-asia.com/" TargetMode="External"/><Relationship Id="rId51" Type="http://schemas.openxmlformats.org/officeDocument/2006/relationships/image" Target="../media/image28.png"/><Relationship Id="rId72" Type="http://schemas.openxmlformats.org/officeDocument/2006/relationships/image" Target="../media/image40.jpeg"/><Relationship Id="rId3" Type="http://schemas.openxmlformats.org/officeDocument/2006/relationships/hyperlink" Target="#Introduction!M3"/><Relationship Id="rId12" Type="http://schemas.openxmlformats.org/officeDocument/2006/relationships/hyperlink" Target="http://www.phuckhang.vn/" TargetMode="External"/><Relationship Id="rId17" Type="http://schemas.openxmlformats.org/officeDocument/2006/relationships/image" Target="../media/image10.png"/><Relationship Id="rId25" Type="http://schemas.openxmlformats.org/officeDocument/2006/relationships/hyperlink" Target="http://www.spcc.com.vn/" TargetMode="External"/><Relationship Id="rId33" Type="http://schemas.openxmlformats.org/officeDocument/2006/relationships/hyperlink" Target="http://bumatech.vn/" TargetMode="External"/><Relationship Id="rId38" Type="http://schemas.openxmlformats.org/officeDocument/2006/relationships/image" Target="../media/image21.png"/><Relationship Id="rId46" Type="http://schemas.openxmlformats.org/officeDocument/2006/relationships/hyperlink" Target="http://tanphatlong.com.vn/" TargetMode="External"/><Relationship Id="rId59" Type="http://schemas.openxmlformats.org/officeDocument/2006/relationships/hyperlink" Target="https://www.royalhaskoningdhv.com/en/vietnam" TargetMode="External"/><Relationship Id="rId67" Type="http://schemas.openxmlformats.org/officeDocument/2006/relationships/image" Target="../media/image37.jpeg"/><Relationship Id="rId20" Type="http://schemas.openxmlformats.org/officeDocument/2006/relationships/image" Target="../media/image12.png"/><Relationship Id="rId41" Type="http://schemas.openxmlformats.org/officeDocument/2006/relationships/image" Target="../media/image23.png"/><Relationship Id="rId54" Type="http://schemas.openxmlformats.org/officeDocument/2006/relationships/image" Target="../media/image29.png"/><Relationship Id="rId62" Type="http://schemas.openxmlformats.org/officeDocument/2006/relationships/image" Target="../media/image33.png"/><Relationship Id="rId70" Type="http://schemas.openxmlformats.org/officeDocument/2006/relationships/image" Target="../media/image39.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hyperlink" Target="#Scorecard!K2"/><Relationship Id="rId1" Type="http://schemas.openxmlformats.org/officeDocument/2006/relationships/hyperlink" Target="#Energy!K2"/><Relationship Id="rId6" Type="http://schemas.openxmlformats.org/officeDocument/2006/relationships/hyperlink" Target="#'E-6 Energy Monitor'!A9"/><Relationship Id="rId5" Type="http://schemas.openxmlformats.org/officeDocument/2006/relationships/image" Target="../media/image61.png"/><Relationship Id="rId4" Type="http://schemas.openxmlformats.org/officeDocument/2006/relationships/image" Target="../media/image60.png"/></Relationships>
</file>

<file path=xl/drawings/_rels/drawing21.xml.rels><?xml version="1.0" encoding="UTF-8" standalone="yes"?>
<Relationships xmlns="http://schemas.openxmlformats.org/package/2006/relationships"><Relationship Id="rId8" Type="http://schemas.openxmlformats.org/officeDocument/2006/relationships/image" Target="../media/image60.png"/><Relationship Id="rId3" Type="http://schemas.openxmlformats.org/officeDocument/2006/relationships/hyperlink" Target="#'Energy BPC'!A17:K43"/><Relationship Id="rId7" Type="http://schemas.openxmlformats.org/officeDocument/2006/relationships/image" Target="../media/image59.png"/><Relationship Id="rId2" Type="http://schemas.openxmlformats.org/officeDocument/2006/relationships/hyperlink" Target="#Scorecard!K2"/><Relationship Id="rId1" Type="http://schemas.openxmlformats.org/officeDocument/2006/relationships/hyperlink" Target="#Energy!K2"/><Relationship Id="rId6" Type="http://schemas.openxmlformats.org/officeDocument/2006/relationships/image" Target="../media/image61.png"/><Relationship Id="rId5" Type="http://schemas.openxmlformats.org/officeDocument/2006/relationships/hyperlink" Target="#'Energy BPC'!A69:K99"/><Relationship Id="rId10" Type="http://schemas.openxmlformats.org/officeDocument/2006/relationships/hyperlink" Target="#'Energy BPC'!A100:K147"/><Relationship Id="rId4" Type="http://schemas.openxmlformats.org/officeDocument/2006/relationships/hyperlink" Target="#'Energy BPC'!A44:K68"/><Relationship Id="rId9" Type="http://schemas.openxmlformats.org/officeDocument/2006/relationships/hyperlink" Target="#'Energy BPC'!A8"/></Relationships>
</file>

<file path=xl/drawings/_rels/drawing22.xml.rels><?xml version="1.0" encoding="UTF-8" standalone="yes"?>
<Relationships xmlns="http://schemas.openxmlformats.org/package/2006/relationships"><Relationship Id="rId2" Type="http://schemas.openxmlformats.org/officeDocument/2006/relationships/hyperlink" Target="#Scorecard!K2"/><Relationship Id="rId1" Type="http://schemas.openxmlformats.org/officeDocument/2006/relationships/image" Target="../media/image53.png"/></Relationships>
</file>

<file path=xl/drawings/_rels/drawing23.xml.rels><?xml version="1.0" encoding="UTF-8" standalone="yes"?>
<Relationships xmlns="http://schemas.openxmlformats.org/package/2006/relationships"><Relationship Id="rId8" Type="http://schemas.openxmlformats.org/officeDocument/2006/relationships/image" Target="../media/image74.png"/><Relationship Id="rId3" Type="http://schemas.openxmlformats.org/officeDocument/2006/relationships/hyperlink" Target="#'W-1 Water Efficient Fixtures'!A22:J83"/><Relationship Id="rId7" Type="http://schemas.openxmlformats.org/officeDocument/2006/relationships/hyperlink" Target="#'W-1 Water Efficient Fixtures'!A9"/><Relationship Id="rId2" Type="http://schemas.openxmlformats.org/officeDocument/2006/relationships/hyperlink" Target="#Scorecard!K2"/><Relationship Id="rId1" Type="http://schemas.openxmlformats.org/officeDocument/2006/relationships/hyperlink" Target="#Water!K2"/><Relationship Id="rId6" Type="http://schemas.openxmlformats.org/officeDocument/2006/relationships/image" Target="../media/image73.png"/><Relationship Id="rId5" Type="http://schemas.openxmlformats.org/officeDocument/2006/relationships/image" Target="../media/image72.png"/><Relationship Id="rId4" Type="http://schemas.openxmlformats.org/officeDocument/2006/relationships/hyperlink" Target="#'W-1 Water Efficient Fixtures'!A84:J166"/><Relationship Id="rId9" Type="http://schemas.openxmlformats.org/officeDocument/2006/relationships/hyperlink" Target="#Resources!A62:R130"/></Relationships>
</file>

<file path=xl/drawings/_rels/drawing24.xml.rels><?xml version="1.0" encoding="UTF-8" standalone="yes"?>
<Relationships xmlns="http://schemas.openxmlformats.org/package/2006/relationships"><Relationship Id="rId8" Type="http://schemas.openxmlformats.org/officeDocument/2006/relationships/image" Target="../media/image73.png"/><Relationship Id="rId3" Type="http://schemas.openxmlformats.org/officeDocument/2006/relationships/hyperlink" Target="#'W-2 Water Efficient Landscaping'!A20:P90"/><Relationship Id="rId7" Type="http://schemas.openxmlformats.org/officeDocument/2006/relationships/image" Target="../media/image75.png"/><Relationship Id="rId2" Type="http://schemas.openxmlformats.org/officeDocument/2006/relationships/hyperlink" Target="#Water!K2"/><Relationship Id="rId1" Type="http://schemas.openxmlformats.org/officeDocument/2006/relationships/hyperlink" Target="#Scorecard!K2"/><Relationship Id="rId6" Type="http://schemas.openxmlformats.org/officeDocument/2006/relationships/image" Target="../media/image72.png"/><Relationship Id="rId5" Type="http://schemas.openxmlformats.org/officeDocument/2006/relationships/hyperlink" Target="#Resources!A62:R76"/><Relationship Id="rId4" Type="http://schemas.openxmlformats.org/officeDocument/2006/relationships/hyperlink" Target="#'W-2 Water Efficient Landscaping'!A91:P160"/><Relationship Id="rId9" Type="http://schemas.openxmlformats.org/officeDocument/2006/relationships/hyperlink" Target="#'W-2 Water Efficient Landscaping'!A9"/></Relationships>
</file>

<file path=xl/drawings/_rels/drawing25.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hyperlink" Target="#Scorecard!K2"/><Relationship Id="rId1" Type="http://schemas.openxmlformats.org/officeDocument/2006/relationships/hyperlink" Target="#Water!K2"/><Relationship Id="rId5" Type="http://schemas.openxmlformats.org/officeDocument/2006/relationships/hyperlink" Target="#'W-3 Drinking Water '!A9"/><Relationship Id="rId4" Type="http://schemas.openxmlformats.org/officeDocument/2006/relationships/image" Target="../media/image73.png"/></Relationships>
</file>

<file path=xl/drawings/_rels/drawing26.xml.rels><?xml version="1.0" encoding="UTF-8" standalone="yes"?>
<Relationships xmlns="http://schemas.openxmlformats.org/package/2006/relationships"><Relationship Id="rId8" Type="http://schemas.openxmlformats.org/officeDocument/2006/relationships/hyperlink" Target="#'Water BPC'!A8"/><Relationship Id="rId3" Type="http://schemas.openxmlformats.org/officeDocument/2006/relationships/hyperlink" Target="#'Water BPC'!A15:J49"/><Relationship Id="rId7" Type="http://schemas.openxmlformats.org/officeDocument/2006/relationships/image" Target="../media/image75.png"/><Relationship Id="rId2" Type="http://schemas.openxmlformats.org/officeDocument/2006/relationships/hyperlink" Target="#Scorecard!K2"/><Relationship Id="rId1" Type="http://schemas.openxmlformats.org/officeDocument/2006/relationships/hyperlink" Target="#Water!K2"/><Relationship Id="rId6" Type="http://schemas.openxmlformats.org/officeDocument/2006/relationships/image" Target="../media/image73.png"/><Relationship Id="rId5" Type="http://schemas.openxmlformats.org/officeDocument/2006/relationships/image" Target="../media/image72.png"/><Relationship Id="rId4" Type="http://schemas.openxmlformats.org/officeDocument/2006/relationships/hyperlink" Target="#'Water BPC'!A50:L76"/></Relationships>
</file>

<file path=xl/drawings/_rels/drawing27.xml.rels><?xml version="1.0" encoding="UTF-8" standalone="yes"?>
<Relationships xmlns="http://schemas.openxmlformats.org/package/2006/relationships"><Relationship Id="rId2" Type="http://schemas.openxmlformats.org/officeDocument/2006/relationships/hyperlink" Target="#Scorecard!K2"/><Relationship Id="rId1" Type="http://schemas.openxmlformats.org/officeDocument/2006/relationships/image" Target="../media/image5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76.png"/><Relationship Id="rId7" Type="http://schemas.openxmlformats.org/officeDocument/2006/relationships/hyperlink" Target="#'M-1 Structure Materials'!A9"/><Relationship Id="rId2" Type="http://schemas.openxmlformats.org/officeDocument/2006/relationships/hyperlink" Target="#Scorecard!K2"/><Relationship Id="rId1" Type="http://schemas.openxmlformats.org/officeDocument/2006/relationships/hyperlink" Target="#Materials!K2"/><Relationship Id="rId6" Type="http://schemas.openxmlformats.org/officeDocument/2006/relationships/image" Target="../media/image79.png"/><Relationship Id="rId5" Type="http://schemas.openxmlformats.org/officeDocument/2006/relationships/image" Target="../media/image78.png"/><Relationship Id="rId4" Type="http://schemas.openxmlformats.org/officeDocument/2006/relationships/image" Target="../media/image77.png"/></Relationships>
</file>

<file path=xl/drawings/_rels/drawing29.xml.rels><?xml version="1.0" encoding="UTF-8" standalone="yes"?>
<Relationships xmlns="http://schemas.openxmlformats.org/package/2006/relationships"><Relationship Id="rId3" Type="http://schemas.openxmlformats.org/officeDocument/2006/relationships/image" Target="../media/image76.png"/><Relationship Id="rId7" Type="http://schemas.openxmlformats.org/officeDocument/2006/relationships/hyperlink" Target="#'M-2 Non-structural Walls'!A9"/><Relationship Id="rId2" Type="http://schemas.openxmlformats.org/officeDocument/2006/relationships/hyperlink" Target="#Materials!K2"/><Relationship Id="rId1" Type="http://schemas.openxmlformats.org/officeDocument/2006/relationships/hyperlink" Target="#Scorecard!K2"/><Relationship Id="rId6" Type="http://schemas.openxmlformats.org/officeDocument/2006/relationships/image" Target="../media/image77.png"/><Relationship Id="rId5" Type="http://schemas.openxmlformats.org/officeDocument/2006/relationships/image" Target="../media/image79.png"/><Relationship Id="rId4" Type="http://schemas.openxmlformats.org/officeDocument/2006/relationships/image" Target="../media/image78.png"/></Relationships>
</file>

<file path=xl/drawings/_rels/drawing3.xml.rels><?xml version="1.0" encoding="UTF-8" standalone="yes"?>
<Relationships xmlns="http://schemas.openxmlformats.org/package/2006/relationships"><Relationship Id="rId8" Type="http://schemas.openxmlformats.org/officeDocument/2006/relationships/hyperlink" Target="#Glossary!A1"/><Relationship Id="rId3" Type="http://schemas.openxmlformats.org/officeDocument/2006/relationships/hyperlink" Target="#Recommendations!M4"/><Relationship Id="rId7" Type="http://schemas.openxmlformats.org/officeDocument/2006/relationships/hyperlink" Target="#'Graphical Results'!C8"/><Relationship Id="rId2" Type="http://schemas.openxmlformats.org/officeDocument/2006/relationships/image" Target="../media/image42.emf"/><Relationship Id="rId1" Type="http://schemas.openxmlformats.org/officeDocument/2006/relationships/image" Target="../media/image41.emf"/><Relationship Id="rId6" Type="http://schemas.openxmlformats.org/officeDocument/2006/relationships/hyperlink" Target="#'Project information'!A1"/><Relationship Id="rId11" Type="http://schemas.openxmlformats.org/officeDocument/2006/relationships/hyperlink" Target="#Introduction!B8"/><Relationship Id="rId5" Type="http://schemas.openxmlformats.org/officeDocument/2006/relationships/hyperlink" Target="#Instructions!M4"/><Relationship Id="rId10" Type="http://schemas.openxmlformats.org/officeDocument/2006/relationships/image" Target="../media/image44.png"/><Relationship Id="rId4" Type="http://schemas.openxmlformats.org/officeDocument/2006/relationships/hyperlink" Target="#Scorecard!K2"/><Relationship Id="rId9" Type="http://schemas.openxmlformats.org/officeDocument/2006/relationships/image" Target="../media/image4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78.png"/><Relationship Id="rId7" Type="http://schemas.openxmlformats.org/officeDocument/2006/relationships/hyperlink" Target="#'M-3 Windows and Doors'!A9"/><Relationship Id="rId2" Type="http://schemas.openxmlformats.org/officeDocument/2006/relationships/hyperlink" Target="#Materials!K2"/><Relationship Id="rId1" Type="http://schemas.openxmlformats.org/officeDocument/2006/relationships/hyperlink" Target="#Scorecard!K2"/><Relationship Id="rId6" Type="http://schemas.openxmlformats.org/officeDocument/2006/relationships/image" Target="../media/image77.png"/><Relationship Id="rId5" Type="http://schemas.openxmlformats.org/officeDocument/2006/relationships/image" Target="../media/image76.png"/><Relationship Id="rId4" Type="http://schemas.openxmlformats.org/officeDocument/2006/relationships/image" Target="../media/image79.png"/></Relationships>
</file>

<file path=xl/drawings/_rels/drawing31.xml.rels><?xml version="1.0" encoding="UTF-8" standalone="yes"?>
<Relationships xmlns="http://schemas.openxmlformats.org/package/2006/relationships"><Relationship Id="rId3" Type="http://schemas.openxmlformats.org/officeDocument/2006/relationships/image" Target="../media/image76.png"/><Relationship Id="rId7" Type="http://schemas.openxmlformats.org/officeDocument/2006/relationships/hyperlink" Target="#'M-4 Flooring Materials'!A9"/><Relationship Id="rId2" Type="http://schemas.openxmlformats.org/officeDocument/2006/relationships/hyperlink" Target="#Materials!K2"/><Relationship Id="rId1" Type="http://schemas.openxmlformats.org/officeDocument/2006/relationships/hyperlink" Target="#Scorecard!K2"/><Relationship Id="rId6" Type="http://schemas.openxmlformats.org/officeDocument/2006/relationships/image" Target="../media/image77.png"/><Relationship Id="rId5" Type="http://schemas.openxmlformats.org/officeDocument/2006/relationships/image" Target="../media/image78.png"/><Relationship Id="rId4" Type="http://schemas.openxmlformats.org/officeDocument/2006/relationships/image" Target="../media/image7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79.png"/><Relationship Id="rId7" Type="http://schemas.openxmlformats.org/officeDocument/2006/relationships/hyperlink" Target="#'M-5 Roofing Materials'!A9"/><Relationship Id="rId2" Type="http://schemas.openxmlformats.org/officeDocument/2006/relationships/hyperlink" Target="#Materials!K2"/><Relationship Id="rId1" Type="http://schemas.openxmlformats.org/officeDocument/2006/relationships/hyperlink" Target="#Scorecard!K2"/><Relationship Id="rId6" Type="http://schemas.openxmlformats.org/officeDocument/2006/relationships/image" Target="../media/image76.png"/><Relationship Id="rId5" Type="http://schemas.openxmlformats.org/officeDocument/2006/relationships/image" Target="../media/image78.png"/><Relationship Id="rId4" Type="http://schemas.openxmlformats.org/officeDocument/2006/relationships/image" Target="../media/image77.png"/></Relationships>
</file>

<file path=xl/drawings/_rels/drawing33.xml.rels><?xml version="1.0" encoding="UTF-8" standalone="yes"?>
<Relationships xmlns="http://schemas.openxmlformats.org/package/2006/relationships"><Relationship Id="rId3" Type="http://schemas.openxmlformats.org/officeDocument/2006/relationships/image" Target="../media/image79.png"/><Relationship Id="rId7" Type="http://schemas.openxmlformats.org/officeDocument/2006/relationships/hyperlink" Target="#'M-6 Furniture'!A9"/><Relationship Id="rId2" Type="http://schemas.openxmlformats.org/officeDocument/2006/relationships/hyperlink" Target="#Materials!K2"/><Relationship Id="rId1" Type="http://schemas.openxmlformats.org/officeDocument/2006/relationships/hyperlink" Target="#Scorecard!K2"/><Relationship Id="rId6" Type="http://schemas.openxmlformats.org/officeDocument/2006/relationships/image" Target="../media/image76.png"/><Relationship Id="rId5" Type="http://schemas.openxmlformats.org/officeDocument/2006/relationships/image" Target="../media/image78.png"/><Relationship Id="rId4" Type="http://schemas.openxmlformats.org/officeDocument/2006/relationships/image" Target="../media/image77.png"/></Relationships>
</file>

<file path=xl/drawings/_rels/drawing34.xml.rels><?xml version="1.0" encoding="UTF-8" standalone="yes"?>
<Relationships xmlns="http://schemas.openxmlformats.org/package/2006/relationships"><Relationship Id="rId2" Type="http://schemas.openxmlformats.org/officeDocument/2006/relationships/hyperlink" Target="#Scorecard!K2"/><Relationship Id="rId1" Type="http://schemas.openxmlformats.org/officeDocument/2006/relationships/image" Target="../media/image54.png"/></Relationships>
</file>

<file path=xl/drawings/_rels/drawing35.xml.rels><?xml version="1.0" encoding="UTF-8" standalone="yes"?>
<Relationships xmlns="http://schemas.openxmlformats.org/package/2006/relationships"><Relationship Id="rId3" Type="http://schemas.openxmlformats.org/officeDocument/2006/relationships/image" Target="../media/image80.png"/><Relationship Id="rId2" Type="http://schemas.openxmlformats.org/officeDocument/2006/relationships/hyperlink" Target="#Scorecard!K2"/><Relationship Id="rId1" Type="http://schemas.openxmlformats.org/officeDocument/2006/relationships/hyperlink" Target="#'Health &amp; Comfort'!K2"/><Relationship Id="rId6" Type="http://schemas.openxmlformats.org/officeDocument/2006/relationships/image" Target="../media/image82.png"/><Relationship Id="rId5" Type="http://schemas.openxmlformats.org/officeDocument/2006/relationships/hyperlink" Target="#'H-1 Fresh Air Supply'!A9"/><Relationship Id="rId4" Type="http://schemas.openxmlformats.org/officeDocument/2006/relationships/image" Target="../media/image8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83.png"/><Relationship Id="rId2" Type="http://schemas.openxmlformats.org/officeDocument/2006/relationships/hyperlink" Target="#Scorecard!K2"/><Relationship Id="rId1" Type="http://schemas.openxmlformats.org/officeDocument/2006/relationships/hyperlink" Target="#'Health &amp; Comfort'!K2"/><Relationship Id="rId6" Type="http://schemas.openxmlformats.org/officeDocument/2006/relationships/hyperlink" Target="#'H-2 Ventilation in wet areas'!A9"/><Relationship Id="rId5" Type="http://schemas.openxmlformats.org/officeDocument/2006/relationships/image" Target="../media/image80.png"/><Relationship Id="rId4" Type="http://schemas.openxmlformats.org/officeDocument/2006/relationships/image" Target="../media/image82.png"/></Relationships>
</file>

<file path=xl/drawings/_rels/drawing37.xml.rels><?xml version="1.0" encoding="UTF-8" standalone="yes"?>
<Relationships xmlns="http://schemas.openxmlformats.org/package/2006/relationships"><Relationship Id="rId3" Type="http://schemas.openxmlformats.org/officeDocument/2006/relationships/hyperlink" Target="#'H-3 CO2 Monitoring'!A9"/><Relationship Id="rId2" Type="http://schemas.openxmlformats.org/officeDocument/2006/relationships/hyperlink" Target="#Scorecard!K2"/><Relationship Id="rId1" Type="http://schemas.openxmlformats.org/officeDocument/2006/relationships/hyperlink" Target="#'Health &amp; Comfort'!K2"/><Relationship Id="rId6" Type="http://schemas.openxmlformats.org/officeDocument/2006/relationships/image" Target="../media/image82.png"/><Relationship Id="rId5" Type="http://schemas.openxmlformats.org/officeDocument/2006/relationships/image" Target="../media/image83.png"/><Relationship Id="rId4" Type="http://schemas.openxmlformats.org/officeDocument/2006/relationships/image" Target="../media/image81.png"/></Relationships>
</file>

<file path=xl/drawings/_rels/drawing38.xml.rels><?xml version="1.0" encoding="UTF-8" standalone="yes"?>
<Relationships xmlns="http://schemas.openxmlformats.org/package/2006/relationships"><Relationship Id="rId8" Type="http://schemas.openxmlformats.org/officeDocument/2006/relationships/image" Target="../media/image80.png"/><Relationship Id="rId13" Type="http://schemas.openxmlformats.org/officeDocument/2006/relationships/image" Target="../media/image84.png"/><Relationship Id="rId3" Type="http://schemas.openxmlformats.org/officeDocument/2006/relationships/hyperlink" Target="#'H-4 Low-VOC Emissions'!A26:A60"/><Relationship Id="rId7" Type="http://schemas.openxmlformats.org/officeDocument/2006/relationships/image" Target="../media/image81.png"/><Relationship Id="rId12" Type="http://schemas.openxmlformats.org/officeDocument/2006/relationships/hyperlink" Target="#'H-4 Low-VOC Emissions'!A174:A209"/><Relationship Id="rId2" Type="http://schemas.openxmlformats.org/officeDocument/2006/relationships/hyperlink" Target="#Scorecard!K2"/><Relationship Id="rId1" Type="http://schemas.openxmlformats.org/officeDocument/2006/relationships/hyperlink" Target="#'Health &amp; Comfort'!K2"/><Relationship Id="rId6" Type="http://schemas.openxmlformats.org/officeDocument/2006/relationships/hyperlink" Target="#'H-4 Low-VOC Emissions'!A132:A173"/><Relationship Id="rId11" Type="http://schemas.openxmlformats.org/officeDocument/2006/relationships/hyperlink" Target="#'H-4 Low-VOC Emissions'!A19:A25"/><Relationship Id="rId5" Type="http://schemas.openxmlformats.org/officeDocument/2006/relationships/hyperlink" Target="#'H-4 Low-VOC Emissions'!A96:A131"/><Relationship Id="rId10" Type="http://schemas.openxmlformats.org/officeDocument/2006/relationships/hyperlink" Target="#'H-4 Low-VOC Emissions'!A9"/><Relationship Id="rId4" Type="http://schemas.openxmlformats.org/officeDocument/2006/relationships/hyperlink" Target="#'H-4 Low-VOC Emissions'!A61:A95"/><Relationship Id="rId9" Type="http://schemas.openxmlformats.org/officeDocument/2006/relationships/image" Target="../media/image82.png"/></Relationships>
</file>

<file path=xl/drawings/_rels/drawing39.xml.rels><?xml version="1.0" encoding="UTF-8" standalone="yes"?>
<Relationships xmlns="http://schemas.openxmlformats.org/package/2006/relationships"><Relationship Id="rId8" Type="http://schemas.openxmlformats.org/officeDocument/2006/relationships/image" Target="../media/image82.png"/><Relationship Id="rId13" Type="http://schemas.openxmlformats.org/officeDocument/2006/relationships/hyperlink" Target="#'H-5 Daylighting'!A9"/><Relationship Id="rId3" Type="http://schemas.openxmlformats.org/officeDocument/2006/relationships/hyperlink" Target="#'H-5 Daylighting'!A26:G100"/><Relationship Id="rId7" Type="http://schemas.openxmlformats.org/officeDocument/2006/relationships/hyperlink" Target="#Resources!A77:R102"/><Relationship Id="rId12" Type="http://schemas.openxmlformats.org/officeDocument/2006/relationships/image" Target="../media/image80.png"/><Relationship Id="rId2" Type="http://schemas.openxmlformats.org/officeDocument/2006/relationships/hyperlink" Target="#Scorecard!K2"/><Relationship Id="rId1" Type="http://schemas.openxmlformats.org/officeDocument/2006/relationships/hyperlink" Target="#'Health &amp; Comfort'!K2"/><Relationship Id="rId6" Type="http://schemas.openxmlformats.org/officeDocument/2006/relationships/image" Target="../media/image86.png"/><Relationship Id="rId11" Type="http://schemas.openxmlformats.org/officeDocument/2006/relationships/image" Target="../media/image88.png"/><Relationship Id="rId5" Type="http://schemas.openxmlformats.org/officeDocument/2006/relationships/image" Target="../media/image85.png"/><Relationship Id="rId10" Type="http://schemas.openxmlformats.org/officeDocument/2006/relationships/image" Target="../media/image84.png"/><Relationship Id="rId4" Type="http://schemas.openxmlformats.org/officeDocument/2006/relationships/hyperlink" Target="#'H-5 Daylighting'!A101:A156"/><Relationship Id="rId9" Type="http://schemas.openxmlformats.org/officeDocument/2006/relationships/image" Target="../media/image87.png"/></Relationships>
</file>

<file path=xl/drawings/_rels/drawing4.xml.rels><?xml version="1.0" encoding="UTF-8" standalone="yes"?>
<Relationships xmlns="http://schemas.openxmlformats.org/package/2006/relationships"><Relationship Id="rId8" Type="http://schemas.openxmlformats.org/officeDocument/2006/relationships/diagramLayout" Target="../diagrams/layout1.xml"/><Relationship Id="rId13" Type="http://schemas.openxmlformats.org/officeDocument/2006/relationships/hyperlink" Target="#'Certification stage checklist '!A1"/><Relationship Id="rId18" Type="http://schemas.openxmlformats.org/officeDocument/2006/relationships/image" Target="../media/image48.png"/><Relationship Id="rId3" Type="http://schemas.openxmlformats.org/officeDocument/2006/relationships/hyperlink" Target="#Scorecard!K2"/><Relationship Id="rId7" Type="http://schemas.openxmlformats.org/officeDocument/2006/relationships/diagramData" Target="../diagrams/data1.xml"/><Relationship Id="rId12" Type="http://schemas.openxmlformats.org/officeDocument/2006/relationships/hyperlink" Target="#'Pre-assessment checklist'!W1"/><Relationship Id="rId17" Type="http://schemas.openxmlformats.org/officeDocument/2006/relationships/image" Target="../media/image47.png"/><Relationship Id="rId2" Type="http://schemas.openxmlformats.org/officeDocument/2006/relationships/hyperlink" Target="#Recommendations!M4"/><Relationship Id="rId16" Type="http://schemas.openxmlformats.org/officeDocument/2006/relationships/image" Target="../media/image46.png"/><Relationship Id="rId1" Type="http://schemas.openxmlformats.org/officeDocument/2006/relationships/hyperlink" Target="#Feedback!A1"/><Relationship Id="rId6" Type="http://schemas.openxmlformats.org/officeDocument/2006/relationships/hyperlink" Target="#Introduction!M3"/><Relationship Id="rId11" Type="http://schemas.microsoft.com/office/2007/relationships/diagramDrawing" Target="../diagrams/drawing1.xml"/><Relationship Id="rId5" Type="http://schemas.openxmlformats.org/officeDocument/2006/relationships/hyperlink" Target="#'Graphical Results'!C8"/><Relationship Id="rId15" Type="http://schemas.openxmlformats.org/officeDocument/2006/relationships/image" Target="../media/image45.png"/><Relationship Id="rId10" Type="http://schemas.openxmlformats.org/officeDocument/2006/relationships/diagramColors" Target="../diagrams/colors1.xml"/><Relationship Id="rId19" Type="http://schemas.openxmlformats.org/officeDocument/2006/relationships/image" Target="../media/image49.png"/><Relationship Id="rId4" Type="http://schemas.openxmlformats.org/officeDocument/2006/relationships/hyperlink" Target="#'Project information'!A1"/><Relationship Id="rId9" Type="http://schemas.openxmlformats.org/officeDocument/2006/relationships/diagramQuickStyle" Target="../diagrams/quickStyle1.xml"/><Relationship Id="rId14" Type="http://schemas.openxmlformats.org/officeDocument/2006/relationships/hyperlink" Target="#Glossary!A1"/></Relationships>
</file>

<file path=xl/drawings/_rels/drawing40.xml.rels><?xml version="1.0" encoding="UTF-8" standalone="yes"?>
<Relationships xmlns="http://schemas.openxmlformats.org/package/2006/relationships"><Relationship Id="rId8" Type="http://schemas.openxmlformats.org/officeDocument/2006/relationships/image" Target="../media/image80.png"/><Relationship Id="rId3" Type="http://schemas.openxmlformats.org/officeDocument/2006/relationships/hyperlink" Target="#Scorecard!K2"/><Relationship Id="rId7" Type="http://schemas.openxmlformats.org/officeDocument/2006/relationships/image" Target="../media/image82.png"/><Relationship Id="rId2" Type="http://schemas.openxmlformats.org/officeDocument/2006/relationships/hyperlink" Target="#'Health &amp; Comfort'!K2"/><Relationship Id="rId1" Type="http://schemas.openxmlformats.org/officeDocument/2006/relationships/hyperlink" Target="#'H-6 External Views'!A9"/><Relationship Id="rId6" Type="http://schemas.openxmlformats.org/officeDocument/2006/relationships/image" Target="../media/image89.png"/><Relationship Id="rId5" Type="http://schemas.openxmlformats.org/officeDocument/2006/relationships/image" Target="../media/image87.png"/><Relationship Id="rId4" Type="http://schemas.openxmlformats.org/officeDocument/2006/relationships/image" Target="../media/image84.png"/></Relationships>
</file>

<file path=xl/drawings/_rels/drawing41.xml.rels><?xml version="1.0" encoding="UTF-8" standalone="yes"?>
<Relationships xmlns="http://schemas.openxmlformats.org/package/2006/relationships"><Relationship Id="rId8" Type="http://schemas.openxmlformats.org/officeDocument/2006/relationships/image" Target="../media/image80.png"/><Relationship Id="rId3" Type="http://schemas.openxmlformats.org/officeDocument/2006/relationships/hyperlink" Target="#'H&amp;C BPC'!A16:L70"/><Relationship Id="rId7" Type="http://schemas.openxmlformats.org/officeDocument/2006/relationships/image" Target="../media/image82.png"/><Relationship Id="rId2" Type="http://schemas.openxmlformats.org/officeDocument/2006/relationships/hyperlink" Target="#Scorecard!K2"/><Relationship Id="rId1" Type="http://schemas.openxmlformats.org/officeDocument/2006/relationships/hyperlink" Target="#'Health &amp; Comfort'!K2"/><Relationship Id="rId6" Type="http://schemas.openxmlformats.org/officeDocument/2006/relationships/image" Target="../media/image81.png"/><Relationship Id="rId11" Type="http://schemas.openxmlformats.org/officeDocument/2006/relationships/image" Target="../media/image87.png"/><Relationship Id="rId5" Type="http://schemas.openxmlformats.org/officeDocument/2006/relationships/hyperlink" Target="#'H&amp;C BPC'!A165:L247"/><Relationship Id="rId10" Type="http://schemas.openxmlformats.org/officeDocument/2006/relationships/image" Target="../media/image84.png"/><Relationship Id="rId4" Type="http://schemas.openxmlformats.org/officeDocument/2006/relationships/hyperlink" Target="#'H&amp;C BPC'!A71:L164"/><Relationship Id="rId9" Type="http://schemas.openxmlformats.org/officeDocument/2006/relationships/hyperlink" Target="#'H&amp;C BPC'!A8"/></Relationships>
</file>

<file path=xl/drawings/_rels/drawing42.xml.rels><?xml version="1.0" encoding="UTF-8" standalone="yes"?>
<Relationships xmlns="http://schemas.openxmlformats.org/package/2006/relationships"><Relationship Id="rId2" Type="http://schemas.openxmlformats.org/officeDocument/2006/relationships/hyperlink" Target="#Scorecard!K2"/><Relationship Id="rId1" Type="http://schemas.openxmlformats.org/officeDocument/2006/relationships/image" Target="../media/image55.png"/></Relationships>
</file>

<file path=xl/drawings/_rels/drawing4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hyperlink" Target="#'LE-1 Site Selection'!A58:M81"/><Relationship Id="rId7" Type="http://schemas.openxmlformats.org/officeDocument/2006/relationships/image" Target="../media/image45.png"/><Relationship Id="rId2" Type="http://schemas.openxmlformats.org/officeDocument/2006/relationships/hyperlink" Target="#'LE-1 Site Selection'!A18:M57"/><Relationship Id="rId1" Type="http://schemas.openxmlformats.org/officeDocument/2006/relationships/hyperlink" Target="#'Local Environment'!K2"/><Relationship Id="rId6" Type="http://schemas.openxmlformats.org/officeDocument/2006/relationships/hyperlink" Target="#Scorecard!K2"/><Relationship Id="rId5" Type="http://schemas.openxmlformats.org/officeDocument/2006/relationships/hyperlink" Target="#'LE-1 Site Selection'!A104:M142"/><Relationship Id="rId10" Type="http://schemas.openxmlformats.org/officeDocument/2006/relationships/hyperlink" Target="#'LE-1 Site Selection'!A9"/><Relationship Id="rId4" Type="http://schemas.openxmlformats.org/officeDocument/2006/relationships/hyperlink" Target="#'LE-1 Site Selection'!A82:M103"/><Relationship Id="rId9" Type="http://schemas.openxmlformats.org/officeDocument/2006/relationships/image" Target="../media/image47.png"/></Relationships>
</file>

<file path=xl/drawings/_rels/drawing44.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hyperlink" Target="#Scorecard!K2"/><Relationship Id="rId7" Type="http://schemas.openxmlformats.org/officeDocument/2006/relationships/image" Target="../media/image46.png"/><Relationship Id="rId2" Type="http://schemas.openxmlformats.org/officeDocument/2006/relationships/hyperlink" Target="#'Local Environment'!K2"/><Relationship Id="rId1" Type="http://schemas.openxmlformats.org/officeDocument/2006/relationships/hyperlink" Target="#Resources!A172:R202"/><Relationship Id="rId6" Type="http://schemas.openxmlformats.org/officeDocument/2006/relationships/image" Target="../media/image45.png"/><Relationship Id="rId5" Type="http://schemas.openxmlformats.org/officeDocument/2006/relationships/hyperlink" Target="#'LE-2 Site design'!A65:K92"/><Relationship Id="rId4" Type="http://schemas.openxmlformats.org/officeDocument/2006/relationships/hyperlink" Target="#'LE-2 Site design'!A16:K64"/><Relationship Id="rId9" Type="http://schemas.openxmlformats.org/officeDocument/2006/relationships/hyperlink" Target="#'LE-2 Site design'!A9"/></Relationships>
</file>

<file path=xl/drawings/_rels/drawing45.xml.rels><?xml version="1.0" encoding="UTF-8" standalone="yes"?>
<Relationships xmlns="http://schemas.openxmlformats.org/package/2006/relationships"><Relationship Id="rId8" Type="http://schemas.openxmlformats.org/officeDocument/2006/relationships/hyperlink" Target="#'LE-3 Vegetation'!A9"/><Relationship Id="rId3" Type="http://schemas.openxmlformats.org/officeDocument/2006/relationships/hyperlink" Target="#'LE-3 Vegetation'!A16:M58"/><Relationship Id="rId7" Type="http://schemas.openxmlformats.org/officeDocument/2006/relationships/image" Target="../media/image49.png"/><Relationship Id="rId2" Type="http://schemas.openxmlformats.org/officeDocument/2006/relationships/hyperlink" Target="#Scorecard!K2"/><Relationship Id="rId1" Type="http://schemas.openxmlformats.org/officeDocument/2006/relationships/hyperlink" Target="#'Local Environment'!K2"/><Relationship Id="rId6" Type="http://schemas.openxmlformats.org/officeDocument/2006/relationships/image" Target="../media/image48.png"/><Relationship Id="rId5" Type="http://schemas.openxmlformats.org/officeDocument/2006/relationships/image" Target="../media/image45.png"/><Relationship Id="rId4" Type="http://schemas.openxmlformats.org/officeDocument/2006/relationships/hyperlink" Target="#'LE-3 Vegetation'!A59:M109"/></Relationships>
</file>

<file path=xl/drawings/_rels/drawing46.xml.rels><?xml version="1.0" encoding="UTF-8" standalone="yes"?>
<Relationships xmlns="http://schemas.openxmlformats.org/package/2006/relationships"><Relationship Id="rId3" Type="http://schemas.openxmlformats.org/officeDocument/2006/relationships/image" Target="../media/image45.png"/><Relationship Id="rId7" Type="http://schemas.openxmlformats.org/officeDocument/2006/relationships/hyperlink" Target="#'LE-4 Heat Island Effect'!A9"/><Relationship Id="rId2" Type="http://schemas.openxmlformats.org/officeDocument/2006/relationships/hyperlink" Target="#Scorecard!K2"/><Relationship Id="rId1" Type="http://schemas.openxmlformats.org/officeDocument/2006/relationships/hyperlink" Target="#'Local Environment'!K2"/><Relationship Id="rId6" Type="http://schemas.openxmlformats.org/officeDocument/2006/relationships/hyperlink" Target="#Resources!A203:R228"/><Relationship Id="rId5" Type="http://schemas.openxmlformats.org/officeDocument/2006/relationships/image" Target="../media/image49.png"/><Relationship Id="rId4" Type="http://schemas.openxmlformats.org/officeDocument/2006/relationships/image" Target="../media/image48.png"/></Relationships>
</file>

<file path=xl/drawings/_rels/drawing47.xml.rels><?xml version="1.0" encoding="UTF-8" standalone="yes"?>
<Relationships xmlns="http://schemas.openxmlformats.org/package/2006/relationships"><Relationship Id="rId8" Type="http://schemas.openxmlformats.org/officeDocument/2006/relationships/hyperlink" Target="#'LE-5 Storm Water Runoff'!A9"/><Relationship Id="rId3" Type="http://schemas.openxmlformats.org/officeDocument/2006/relationships/hyperlink" Target="#Scorecard!K2"/><Relationship Id="rId7" Type="http://schemas.openxmlformats.org/officeDocument/2006/relationships/image" Target="../media/image48.png"/><Relationship Id="rId2" Type="http://schemas.openxmlformats.org/officeDocument/2006/relationships/hyperlink" Target="#'Local Environment'!K2"/><Relationship Id="rId1" Type="http://schemas.openxmlformats.org/officeDocument/2006/relationships/hyperlink" Target="#Resources!A229:R251"/><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9.png"/></Relationships>
</file>

<file path=xl/drawings/_rels/drawing48.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hyperlink" Target="#Scorecard!K2"/><Relationship Id="rId1" Type="http://schemas.openxmlformats.org/officeDocument/2006/relationships/hyperlink" Target="#'Local Environment'!K2"/><Relationship Id="rId5" Type="http://schemas.openxmlformats.org/officeDocument/2006/relationships/hyperlink" Target="#'LE-6 Flood Risk Mitigation'!A9"/><Relationship Id="rId4" Type="http://schemas.openxmlformats.org/officeDocument/2006/relationships/image" Target="../media/image45.png"/></Relationships>
</file>

<file path=xl/drawings/_rels/drawing49.xml.rels><?xml version="1.0" encoding="UTF-8" standalone="yes"?>
<Relationships xmlns="http://schemas.openxmlformats.org/package/2006/relationships"><Relationship Id="rId8" Type="http://schemas.openxmlformats.org/officeDocument/2006/relationships/image" Target="../media/image46.png"/><Relationship Id="rId3" Type="http://schemas.openxmlformats.org/officeDocument/2006/relationships/image" Target="../media/image45.png"/><Relationship Id="rId7" Type="http://schemas.openxmlformats.org/officeDocument/2006/relationships/hyperlink" Target="#'LE-7 Refrigerants'!A46:A96"/><Relationship Id="rId2" Type="http://schemas.openxmlformats.org/officeDocument/2006/relationships/hyperlink" Target="#Scorecard!K2"/><Relationship Id="rId1" Type="http://schemas.openxmlformats.org/officeDocument/2006/relationships/hyperlink" Target="#'Local Environment'!K2"/><Relationship Id="rId6" Type="http://schemas.openxmlformats.org/officeDocument/2006/relationships/hyperlink" Target="#'LE-7 Refrigerants'!A19:M45"/><Relationship Id="rId5" Type="http://schemas.openxmlformats.org/officeDocument/2006/relationships/hyperlink" Target="#'LE-7 Refrigerants'!A9"/><Relationship Id="rId10" Type="http://schemas.openxmlformats.org/officeDocument/2006/relationships/image" Target="../media/image47.png"/><Relationship Id="rId4" Type="http://schemas.openxmlformats.org/officeDocument/2006/relationships/image" Target="../media/image48.png"/><Relationship Id="rId9" Type="http://schemas.openxmlformats.org/officeDocument/2006/relationships/hyperlink" Target="#Resources!A252:R265"/></Relationships>
</file>

<file path=xl/drawings/_rels/drawing5.xml.rels><?xml version="1.0" encoding="UTF-8" standalone="yes"?>
<Relationships xmlns="http://schemas.openxmlformats.org/package/2006/relationships"><Relationship Id="rId3" Type="http://schemas.openxmlformats.org/officeDocument/2006/relationships/hyperlink" Target="#'Graphical Results'!C8"/><Relationship Id="rId7" Type="http://schemas.openxmlformats.org/officeDocument/2006/relationships/image" Target="../media/image46.png"/><Relationship Id="rId2" Type="http://schemas.openxmlformats.org/officeDocument/2006/relationships/hyperlink" Target="#'Project information'!A1"/><Relationship Id="rId1" Type="http://schemas.openxmlformats.org/officeDocument/2006/relationships/hyperlink" Target="#Scorecard!K2"/><Relationship Id="rId6" Type="http://schemas.openxmlformats.org/officeDocument/2006/relationships/hyperlink" Target="#Glossary!A1"/><Relationship Id="rId5" Type="http://schemas.openxmlformats.org/officeDocument/2006/relationships/hyperlink" Target="#Instructions!M4"/><Relationship Id="rId4" Type="http://schemas.openxmlformats.org/officeDocument/2006/relationships/hyperlink" Target="#Introduction!M3"/></Relationships>
</file>

<file path=xl/drawings/_rels/drawing50.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hyperlink" Target="#Scorecard!K2"/><Relationship Id="rId1" Type="http://schemas.openxmlformats.org/officeDocument/2006/relationships/hyperlink" Target="#'Local Environment'!K2"/><Relationship Id="rId5" Type="http://schemas.openxmlformats.org/officeDocument/2006/relationships/hyperlink" Target="#'LE-8 Recycling Storage Area'!A9"/><Relationship Id="rId4" Type="http://schemas.openxmlformats.org/officeDocument/2006/relationships/image" Target="../media/image48.png"/></Relationships>
</file>

<file path=xl/drawings/_rels/drawing51.xml.rels><?xml version="1.0" encoding="UTF-8" standalone="yes"?>
<Relationships xmlns="http://schemas.openxmlformats.org/package/2006/relationships"><Relationship Id="rId2" Type="http://schemas.openxmlformats.org/officeDocument/2006/relationships/hyperlink" Target="#Scorecard!K2"/><Relationship Id="rId1" Type="http://schemas.openxmlformats.org/officeDocument/2006/relationships/image" Target="../media/image56.png"/></Relationships>
</file>

<file path=xl/drawings/_rels/drawing52.xml.rels><?xml version="1.0" encoding="UTF-8" standalone="yes"?>
<Relationships xmlns="http://schemas.openxmlformats.org/package/2006/relationships"><Relationship Id="rId3" Type="http://schemas.openxmlformats.org/officeDocument/2006/relationships/image" Target="../media/image90.png"/><Relationship Id="rId2" Type="http://schemas.openxmlformats.org/officeDocument/2006/relationships/hyperlink" Target="#Scorecard!K2"/><Relationship Id="rId1" Type="http://schemas.openxmlformats.org/officeDocument/2006/relationships/hyperlink" Target="#'Community &amp; Management'!K2"/><Relationship Id="rId6" Type="http://schemas.openxmlformats.org/officeDocument/2006/relationships/hyperlink" Target="#'CM-1 Design Stage'!A9"/><Relationship Id="rId5" Type="http://schemas.openxmlformats.org/officeDocument/2006/relationships/image" Target="../media/image92.png"/><Relationship Id="rId4" Type="http://schemas.openxmlformats.org/officeDocument/2006/relationships/image" Target="../media/image91.png"/></Relationships>
</file>

<file path=xl/drawings/_rels/drawing53.xml.rels><?xml version="1.0" encoding="UTF-8" standalone="yes"?>
<Relationships xmlns="http://schemas.openxmlformats.org/package/2006/relationships"><Relationship Id="rId8" Type="http://schemas.openxmlformats.org/officeDocument/2006/relationships/image" Target="../media/image90.png"/><Relationship Id="rId3" Type="http://schemas.openxmlformats.org/officeDocument/2006/relationships/hyperlink" Target="#'CM-2 Construction Management'!A19:K51"/><Relationship Id="rId7" Type="http://schemas.openxmlformats.org/officeDocument/2006/relationships/hyperlink" Target="#'CM-2 Construction Management'!A142:K180"/><Relationship Id="rId2" Type="http://schemas.openxmlformats.org/officeDocument/2006/relationships/hyperlink" Target="#Scorecard!K2"/><Relationship Id="rId1" Type="http://schemas.openxmlformats.org/officeDocument/2006/relationships/hyperlink" Target="#'Community &amp; Management'!K2"/><Relationship Id="rId6" Type="http://schemas.openxmlformats.org/officeDocument/2006/relationships/hyperlink" Target="#'CM-2 Construction Management'!A118:K141"/><Relationship Id="rId11" Type="http://schemas.openxmlformats.org/officeDocument/2006/relationships/hyperlink" Target="#'CM-2 Construction Management'!A9"/><Relationship Id="rId5" Type="http://schemas.openxmlformats.org/officeDocument/2006/relationships/hyperlink" Target="#'CM-2 Construction Management'!A86:K117"/><Relationship Id="rId10" Type="http://schemas.openxmlformats.org/officeDocument/2006/relationships/image" Target="../media/image93.png"/><Relationship Id="rId4" Type="http://schemas.openxmlformats.org/officeDocument/2006/relationships/hyperlink" Target="#'CM-2 Construction Management'!A50:K86"/><Relationship Id="rId9" Type="http://schemas.openxmlformats.org/officeDocument/2006/relationships/image" Target="../media/image91.png"/></Relationships>
</file>

<file path=xl/drawings/_rels/drawing54.xml.rels><?xml version="1.0" encoding="UTF-8" standalone="yes"?>
<Relationships xmlns="http://schemas.openxmlformats.org/package/2006/relationships"><Relationship Id="rId8" Type="http://schemas.openxmlformats.org/officeDocument/2006/relationships/hyperlink" Target="#'CM-3 Operational Management'!A84:K117"/><Relationship Id="rId3" Type="http://schemas.openxmlformats.org/officeDocument/2006/relationships/image" Target="../media/image90.png"/><Relationship Id="rId7" Type="http://schemas.openxmlformats.org/officeDocument/2006/relationships/hyperlink" Target="#'CM-3 Operational Management'!A46:K83"/><Relationship Id="rId2" Type="http://schemas.openxmlformats.org/officeDocument/2006/relationships/hyperlink" Target="#Scorecard!K2"/><Relationship Id="rId1" Type="http://schemas.openxmlformats.org/officeDocument/2006/relationships/hyperlink" Target="#'Community &amp; Management'!K2"/><Relationship Id="rId6" Type="http://schemas.openxmlformats.org/officeDocument/2006/relationships/hyperlink" Target="#'CM-3 Operational Management'!A17:K45"/><Relationship Id="rId5" Type="http://schemas.openxmlformats.org/officeDocument/2006/relationships/hyperlink" Target="#'CM-3 Operational Management'!A9"/><Relationship Id="rId4" Type="http://schemas.openxmlformats.org/officeDocument/2006/relationships/image" Target="../media/image91.png"/></Relationships>
</file>

<file path=xl/drawings/_rels/drawing55.xml.rels><?xml version="1.0" encoding="UTF-8" standalone="yes"?>
<Relationships xmlns="http://schemas.openxmlformats.org/package/2006/relationships"><Relationship Id="rId3" Type="http://schemas.openxmlformats.org/officeDocument/2006/relationships/image" Target="../media/image90.png"/><Relationship Id="rId2" Type="http://schemas.openxmlformats.org/officeDocument/2006/relationships/hyperlink" Target="#Scorecard!K2"/><Relationship Id="rId1" Type="http://schemas.openxmlformats.org/officeDocument/2006/relationships/hyperlink" Target="#'Community &amp; Management'!K2"/><Relationship Id="rId5" Type="http://schemas.openxmlformats.org/officeDocument/2006/relationships/hyperlink" Target="#'CM-4 Access for PWD'!A9"/><Relationship Id="rId4" Type="http://schemas.openxmlformats.org/officeDocument/2006/relationships/image" Target="../media/image91.png"/></Relationships>
</file>

<file path=xl/drawings/_rels/drawing56.xml.rels><?xml version="1.0" encoding="UTF-8" standalone="yes"?>
<Relationships xmlns="http://schemas.openxmlformats.org/package/2006/relationships"><Relationship Id="rId8" Type="http://schemas.openxmlformats.org/officeDocument/2006/relationships/image" Target="../media/image94.png"/><Relationship Id="rId3" Type="http://schemas.openxmlformats.org/officeDocument/2006/relationships/hyperlink" Target="#'CM BPC'!A17:K43"/><Relationship Id="rId7" Type="http://schemas.openxmlformats.org/officeDocument/2006/relationships/image" Target="../media/image91.png"/><Relationship Id="rId2" Type="http://schemas.openxmlformats.org/officeDocument/2006/relationships/hyperlink" Target="#Scorecard!K2"/><Relationship Id="rId1" Type="http://schemas.openxmlformats.org/officeDocument/2006/relationships/hyperlink" Target="#'Community &amp; Management'!K2"/><Relationship Id="rId6" Type="http://schemas.openxmlformats.org/officeDocument/2006/relationships/image" Target="../media/image90.png"/><Relationship Id="rId11" Type="http://schemas.openxmlformats.org/officeDocument/2006/relationships/image" Target="../media/image92.png"/><Relationship Id="rId5" Type="http://schemas.openxmlformats.org/officeDocument/2006/relationships/hyperlink" Target="#'CM BPC'!A65:K97"/><Relationship Id="rId10" Type="http://schemas.openxmlformats.org/officeDocument/2006/relationships/hyperlink" Target="#'CM BPC'!A97:K125"/><Relationship Id="rId4" Type="http://schemas.openxmlformats.org/officeDocument/2006/relationships/hyperlink" Target="#'CM BPC'!A44:K64"/><Relationship Id="rId9" Type="http://schemas.openxmlformats.org/officeDocument/2006/relationships/hyperlink" Target="#'CM BPC'!A8"/></Relationships>
</file>

<file path=xl/drawings/_rels/drawing57.xml.rels><?xml version="1.0" encoding="UTF-8" standalone="yes"?>
<Relationships xmlns="http://schemas.openxmlformats.org/package/2006/relationships"><Relationship Id="rId2" Type="http://schemas.openxmlformats.org/officeDocument/2006/relationships/hyperlink" Target="#Scorecard!K2"/><Relationship Id="rId1" Type="http://schemas.openxmlformats.org/officeDocument/2006/relationships/image" Target="../media/image57.png"/></Relationships>
</file>

<file path=xl/drawings/_rels/drawing58.xml.rels><?xml version="1.0" encoding="UTF-8" standalone="yes"?>
<Relationships xmlns="http://schemas.openxmlformats.org/package/2006/relationships"><Relationship Id="rId3" Type="http://schemas.openxmlformats.org/officeDocument/2006/relationships/hyperlink" Target="#Scorecard!K2"/><Relationship Id="rId2" Type="http://schemas.openxmlformats.org/officeDocument/2006/relationships/hyperlink" Target="#Innovation!K2"/><Relationship Id="rId1" Type="http://schemas.openxmlformats.org/officeDocument/2006/relationships/image" Target="../media/image95.png"/><Relationship Id="rId4" Type="http://schemas.openxmlformats.org/officeDocument/2006/relationships/hyperlink" Target="#'Inn-1 Exceptional Performance '!A9"/></Relationships>
</file>

<file path=xl/drawings/_rels/drawing59.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hyperlink" Target="#Scorecard!K2"/><Relationship Id="rId1" Type="http://schemas.openxmlformats.org/officeDocument/2006/relationships/hyperlink" Target="#Innovation!K2"/><Relationship Id="rId5" Type="http://schemas.openxmlformats.org/officeDocument/2006/relationships/hyperlink" Target="#'Inn-2 Innovative Techniques'!A9"/><Relationship Id="rId4" Type="http://schemas.openxmlformats.org/officeDocument/2006/relationships/image" Target="../media/image96.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M4"/><Relationship Id="rId2" Type="http://schemas.openxmlformats.org/officeDocument/2006/relationships/hyperlink" Target="#Scorecard!K2"/><Relationship Id="rId1" Type="http://schemas.openxmlformats.org/officeDocument/2006/relationships/hyperlink" Target="#Glossary!A54:Q81"/><Relationship Id="rId5" Type="http://schemas.openxmlformats.org/officeDocument/2006/relationships/image" Target="../media/image49.png"/><Relationship Id="rId4" Type="http://schemas.openxmlformats.org/officeDocument/2006/relationships/hyperlink" Target="#Introduction!M3"/></Relationships>
</file>

<file path=xl/drawings/_rels/drawing60.xml.rels><?xml version="1.0" encoding="UTF-8" standalone="yes"?>
<Relationships xmlns="http://schemas.openxmlformats.org/package/2006/relationships"><Relationship Id="rId3" Type="http://schemas.openxmlformats.org/officeDocument/2006/relationships/hyperlink" Target="#Introduction!M3"/><Relationship Id="rId2" Type="http://schemas.openxmlformats.org/officeDocument/2006/relationships/hyperlink" Target="#Instructions!M4"/><Relationship Id="rId1" Type="http://schemas.openxmlformats.org/officeDocument/2006/relationships/hyperlink" Target="#Scorecard!K2"/></Relationships>
</file>

<file path=xl/drawings/_rels/drawing61.xml.rels><?xml version="1.0" encoding="UTF-8" standalone="yes"?>
<Relationships xmlns="http://schemas.openxmlformats.org/package/2006/relationships"><Relationship Id="rId3" Type="http://schemas.openxmlformats.org/officeDocument/2006/relationships/hyperlink" Target="#Scorecard!K2"/><Relationship Id="rId2" Type="http://schemas.openxmlformats.org/officeDocument/2006/relationships/image" Target="../media/image97.jpeg"/><Relationship Id="rId1" Type="http://schemas.openxmlformats.org/officeDocument/2006/relationships/hyperlink" Target="#'Project information'!A1"/><Relationship Id="rId6" Type="http://schemas.openxmlformats.org/officeDocument/2006/relationships/hyperlink" Target="#'Certification stage checklist '!A22"/><Relationship Id="rId5" Type="http://schemas.openxmlformats.org/officeDocument/2006/relationships/hyperlink" Target="#Introduction!M3"/><Relationship Id="rId4" Type="http://schemas.openxmlformats.org/officeDocument/2006/relationships/hyperlink" Target="#Instructions!M4"/></Relationships>
</file>

<file path=xl/drawings/_rels/drawing62.xml.rels><?xml version="1.0" encoding="UTF-8" standalone="yes"?>
<Relationships xmlns="http://schemas.openxmlformats.org/package/2006/relationships"><Relationship Id="rId8" Type="http://schemas.openxmlformats.org/officeDocument/2006/relationships/hyperlink" Target="#Instructions!M4"/><Relationship Id="rId13" Type="http://schemas.openxmlformats.org/officeDocument/2006/relationships/hyperlink" Target="#'LE-7 Refrigerants'!A57"/><Relationship Id="rId3" Type="http://schemas.openxmlformats.org/officeDocument/2006/relationships/hyperlink" Target="#'LE-2 Site design'!A16"/><Relationship Id="rId7" Type="http://schemas.openxmlformats.org/officeDocument/2006/relationships/hyperlink" Target="#Scorecard!K2"/><Relationship Id="rId12" Type="http://schemas.openxmlformats.org/officeDocument/2006/relationships/hyperlink" Target="#'LE-4 Heat Island Effect'!B35"/><Relationship Id="rId2" Type="http://schemas.openxmlformats.org/officeDocument/2006/relationships/image" Target="../media/image98.emf"/><Relationship Id="rId1" Type="http://schemas.openxmlformats.org/officeDocument/2006/relationships/hyperlink" Target="#'LE-5 Storm Water Runoff'!A26"/><Relationship Id="rId6" Type="http://schemas.openxmlformats.org/officeDocument/2006/relationships/hyperlink" Target="#'H-5 Daylighting'!A108"/><Relationship Id="rId11" Type="http://schemas.openxmlformats.org/officeDocument/2006/relationships/image" Target="../media/image100.png"/><Relationship Id="rId5" Type="http://schemas.openxmlformats.org/officeDocument/2006/relationships/image" Target="../media/image99.jpeg"/><Relationship Id="rId15" Type="http://schemas.openxmlformats.org/officeDocument/2006/relationships/hyperlink" Target="#'W-1 Water Efficient Fixtures'!A90"/><Relationship Id="rId10" Type="http://schemas.openxmlformats.org/officeDocument/2006/relationships/hyperlink" Target="#'E-2 Building Envelope'!B235"/><Relationship Id="rId4" Type="http://schemas.openxmlformats.org/officeDocument/2006/relationships/hyperlink" Target="#'W-2 Water Efficient Landscaping'!A108"/><Relationship Id="rId9" Type="http://schemas.openxmlformats.org/officeDocument/2006/relationships/hyperlink" Target="#Introduction!M3"/><Relationship Id="rId14" Type="http://schemas.openxmlformats.org/officeDocument/2006/relationships/hyperlink" Target="#'E-1 Passive Design'!B93"/></Relationships>
</file>

<file path=xl/drawings/_rels/drawing63.xml.rels><?xml version="1.0" encoding="UTF-8" standalone="yes"?>
<Relationships xmlns="http://schemas.openxmlformats.org/package/2006/relationships"><Relationship Id="rId1" Type="http://schemas.openxmlformats.org/officeDocument/2006/relationships/image" Target="../media/image101.png"/></Relationships>
</file>

<file path=xl/drawings/_rels/drawing64.xml.rels><?xml version="1.0" encoding="UTF-8" standalone="yes"?>
<Relationships xmlns="http://schemas.openxmlformats.org/package/2006/relationships"><Relationship Id="rId3" Type="http://schemas.openxmlformats.org/officeDocument/2006/relationships/hyperlink" Target="#Instructions!N4"/><Relationship Id="rId2" Type="http://schemas.openxmlformats.org/officeDocument/2006/relationships/hyperlink" Target="#'LOTUS Homes Scorecard'!W1"/><Relationship Id="rId1" Type="http://schemas.openxmlformats.org/officeDocument/2006/relationships/hyperlink" Target="#Example!A1"/><Relationship Id="rId4" Type="http://schemas.openxmlformats.org/officeDocument/2006/relationships/hyperlink" Target="#Introduction!M3"/></Relationships>
</file>

<file path=xl/drawings/_rels/drawing7.xml.rels><?xml version="1.0" encoding="UTF-8" standalone="yes"?>
<Relationships xmlns="http://schemas.openxmlformats.org/package/2006/relationships"><Relationship Id="rId1" Type="http://schemas.openxmlformats.org/officeDocument/2006/relationships/image" Target="../media/image50.png"/></Relationships>
</file>

<file path=xl/drawings/_rels/drawing8.xml.rels><?xml version="1.0" encoding="UTF-8" standalone="yes"?>
<Relationships xmlns="http://schemas.openxmlformats.org/package/2006/relationships"><Relationship Id="rId3" Type="http://schemas.openxmlformats.org/officeDocument/2006/relationships/hyperlink" Target="#Introduction!M3"/><Relationship Id="rId2" Type="http://schemas.openxmlformats.org/officeDocument/2006/relationships/hyperlink" Target="#Instructions!M4"/><Relationship Id="rId1" Type="http://schemas.openxmlformats.org/officeDocument/2006/relationships/hyperlink" Target="#Scorecard!K2"/><Relationship Id="rId4" Type="http://schemas.openxmlformats.org/officeDocument/2006/relationships/image" Target="../media/image49.png"/></Relationships>
</file>

<file path=xl/drawings/_rels/drawing9.xml.rels><?xml version="1.0" encoding="UTF-8" standalone="yes"?>
<Relationships xmlns="http://schemas.openxmlformats.org/package/2006/relationships"><Relationship Id="rId3" Type="http://schemas.openxmlformats.org/officeDocument/2006/relationships/hyperlink" Target="#Scorecard!K2"/><Relationship Id="rId2" Type="http://schemas.openxmlformats.org/officeDocument/2006/relationships/image" Target="../media/image49.png"/><Relationship Id="rId1" Type="http://schemas.openxmlformats.org/officeDocument/2006/relationships/hyperlink" Target="#Glossary!A35:Q53"/><Relationship Id="rId5" Type="http://schemas.openxmlformats.org/officeDocument/2006/relationships/hyperlink" Target="#Introduction!M3"/><Relationship Id="rId4" Type="http://schemas.openxmlformats.org/officeDocument/2006/relationships/hyperlink" Target="#Instructions!M4"/></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13</xdr:row>
      <xdr:rowOff>114299</xdr:rowOff>
    </xdr:from>
    <xdr:to>
      <xdr:col>14</xdr:col>
      <xdr:colOff>0</xdr:colOff>
      <xdr:row>23</xdr:row>
      <xdr:rowOff>211559</xdr:rowOff>
    </xdr:to>
    <xdr:pic>
      <xdr:nvPicPr>
        <xdr:cNvPr id="8" name="Picture 7" descr="C:\Users\VGBC\Desktop\111114 Option 1a.png">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cstate="print">
          <a:duotone>
            <a:prstClr val="black"/>
            <a:srgbClr val="76923C">
              <a:tint val="45000"/>
              <a:satMod val="400000"/>
            </a:srgbClr>
          </a:duotone>
          <a:extLst>
            <a:ext uri="{BEBA8EAE-BF5A-486C-A8C5-ECC9F3942E4B}">
              <a14:imgProps xmlns:a14="http://schemas.microsoft.com/office/drawing/2010/main">
                <a14:imgLayer r:embed="rId2">
                  <a14:imgEffect>
                    <a14:sharpenSoften amount="35000"/>
                  </a14:imgEffect>
                  <a14:imgEffect>
                    <a14:colorTemperature colorTemp="11200"/>
                  </a14:imgEffect>
                  <a14:imgEffect>
                    <a14:brightnessContrast bright="20000"/>
                  </a14:imgEffect>
                </a14:imgLayer>
              </a14:imgProps>
            </a:ext>
            <a:ext uri="{28A0092B-C50C-407E-A947-70E740481C1C}">
              <a14:useLocalDpi xmlns:a14="http://schemas.microsoft.com/office/drawing/2010/main" val="0"/>
            </a:ext>
          </a:extLst>
        </a:blip>
        <a:srcRect l="7387" t="9899" r="1464" b="-2"/>
        <a:stretch/>
      </xdr:blipFill>
      <xdr:spPr bwMode="auto">
        <a:xfrm>
          <a:off x="9525" y="2476499"/>
          <a:ext cx="8610600" cy="2202285"/>
        </a:xfrm>
        <a:prstGeom prst="rect">
          <a:avLst/>
        </a:prstGeom>
        <a:noFill/>
        <a:ln>
          <a:noFill/>
        </a:ln>
        <a:effectLst>
          <a:outerShdw blurRad="50800" dist="50800" dir="5400000" algn="ctr" rotWithShape="0">
            <a:srgbClr val="000000">
              <a:alpha val="0"/>
            </a:srgbClr>
          </a:outerShdw>
        </a:effectLst>
        <a:extLst>
          <a:ext uri="{53640926-AAD7-44D8-BBD7-CCE9431645EC}">
            <a14:shadowObscured xmlns:a14="http://schemas.microsoft.com/office/drawing/2010/main"/>
          </a:ext>
        </a:extLst>
      </xdr:spPr>
    </xdr:pic>
    <xdr:clientData/>
  </xdr:twoCellAnchor>
  <xdr:twoCellAnchor editAs="oneCell">
    <xdr:from>
      <xdr:col>11</xdr:col>
      <xdr:colOff>419100</xdr:colOff>
      <xdr:row>0</xdr:row>
      <xdr:rowOff>0</xdr:rowOff>
    </xdr:from>
    <xdr:to>
      <xdr:col>14</xdr:col>
      <xdr:colOff>0</xdr:colOff>
      <xdr:row>5</xdr:row>
      <xdr:rowOff>55500</xdr:rowOff>
    </xdr:to>
    <xdr:pic>
      <xdr:nvPicPr>
        <xdr:cNvPr id="2" name="Picture 8" descr="VGBC_logo.jpg">
          <a:hlinkClick xmlns:r="http://schemas.openxmlformats.org/officeDocument/2006/relationships" r:id="rId3"/>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4" cstate="print"/>
        <a:srcRect t="7665" r="1430" b="20566"/>
        <a:stretch/>
      </xdr:blipFill>
      <xdr:spPr>
        <a:xfrm>
          <a:off x="7277100" y="0"/>
          <a:ext cx="1343025" cy="1008000"/>
        </a:xfrm>
        <a:prstGeom prst="rect">
          <a:avLst/>
        </a:prstGeom>
      </xdr:spPr>
    </xdr:pic>
    <xdr:clientData/>
  </xdr:twoCellAnchor>
  <xdr:twoCellAnchor>
    <xdr:from>
      <xdr:col>0</xdr:col>
      <xdr:colOff>95251</xdr:colOff>
      <xdr:row>25</xdr:row>
      <xdr:rowOff>38100</xdr:rowOff>
    </xdr:from>
    <xdr:to>
      <xdr:col>13</xdr:col>
      <xdr:colOff>457200</xdr:colOff>
      <xdr:row>25</xdr:row>
      <xdr:rowOff>847725</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95251" y="4886325"/>
          <a:ext cx="8439149" cy="8096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i="1" u="none" strike="noStrike">
              <a:solidFill>
                <a:schemeClr val="dk1"/>
              </a:solidFill>
              <a:effectLst/>
              <a:latin typeface="+mn-lt"/>
              <a:ea typeface="+mn-ea"/>
              <a:cs typeface="+mn-cs"/>
            </a:rPr>
            <a:t>© Copyright Vietnam Green Building Council. 2018. </a:t>
          </a:r>
        </a:p>
        <a:p>
          <a:r>
            <a:rPr lang="en-US" sz="1100" b="0" i="1" u="none" strike="noStrike">
              <a:solidFill>
                <a:schemeClr val="dk1"/>
              </a:solidFill>
              <a:effectLst/>
              <a:latin typeface="+mn-lt"/>
              <a:ea typeface="+mn-ea"/>
              <a:cs typeface="+mn-cs"/>
            </a:rPr>
            <a:t>Whilst every care has been taken in preparing this document, the Vietnam Green Building Council cannot accept responsibility for any inaccuracies or for consequential loss incurred as a result of such inaccuracies arising through the use of the document. </a:t>
          </a:r>
          <a:br>
            <a:rPr lang="en-US" sz="1100" b="0" i="1" u="none" strike="noStrike">
              <a:solidFill>
                <a:schemeClr val="dk1"/>
              </a:solidFill>
              <a:effectLst/>
              <a:latin typeface="+mn-lt"/>
              <a:ea typeface="+mn-ea"/>
              <a:cs typeface="+mn-cs"/>
            </a:rPr>
          </a:br>
          <a:r>
            <a:rPr lang="en-US" sz="1100" b="0" i="1" u="none" strike="noStrike">
              <a:solidFill>
                <a:schemeClr val="dk1"/>
              </a:solidFill>
              <a:effectLst/>
              <a:latin typeface="+mn-lt"/>
              <a:ea typeface="+mn-ea"/>
              <a:cs typeface="+mn-cs"/>
            </a:rPr>
            <a:t>The Vietnam Green Building Council reserves the right to amend, alter, change or update this document in any way and without prior notice. </a:t>
          </a:r>
          <a:r>
            <a:rPr lang="en-US"/>
            <a:t> </a:t>
          </a:r>
          <a:endParaRPr lang="en-US" sz="1100"/>
        </a:p>
      </xdr:txBody>
    </xdr:sp>
    <xdr:clientData/>
  </xdr:twoCellAnchor>
  <xdr:twoCellAnchor>
    <xdr:from>
      <xdr:col>1</xdr:col>
      <xdr:colOff>590550</xdr:colOff>
      <xdr:row>1</xdr:row>
      <xdr:rowOff>142875</xdr:rowOff>
    </xdr:from>
    <xdr:to>
      <xdr:col>4</xdr:col>
      <xdr:colOff>267450</xdr:colOff>
      <xdr:row>3</xdr:row>
      <xdr:rowOff>121875</xdr:rowOff>
    </xdr:to>
    <xdr:sp macro="" textlink="">
      <xdr:nvSpPr>
        <xdr:cNvPr id="5" name="Rectangle à coins arrondis 2">
          <a:hlinkClick xmlns:r="http://schemas.openxmlformats.org/officeDocument/2006/relationships" r:id="rId5" tooltip="Introduction"/>
          <a:extLst>
            <a:ext uri="{FF2B5EF4-FFF2-40B4-BE49-F238E27FC236}">
              <a16:creationId xmlns:a16="http://schemas.microsoft.com/office/drawing/2014/main" id="{00000000-0008-0000-0000-000005000000}"/>
            </a:ext>
          </a:extLst>
        </xdr:cNvPr>
        <xdr:cNvSpPr>
          <a:spLocks noChangeArrowheads="1"/>
        </xdr:cNvSpPr>
      </xdr:nvSpPr>
      <xdr:spPr bwMode="auto">
        <a:xfrm>
          <a:off x="1238250" y="333375"/>
          <a:ext cx="1620000" cy="360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anose="020B0604020202020204" pitchFamily="34" charset="0"/>
              <a:cs typeface="Arial" panose="020B0604020202020204" pitchFamily="34" charset="0"/>
            </a:rPr>
            <a:t>Introduction</a:t>
          </a:r>
          <a:endParaRPr lang="fr-FR" sz="1200" b="0" i="0" u="none" strike="noStrike" baseline="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7</xdr:row>
      <xdr:rowOff>19051</xdr:rowOff>
    </xdr:from>
    <xdr:to>
      <xdr:col>14</xdr:col>
      <xdr:colOff>0</xdr:colOff>
      <xdr:row>13</xdr:row>
      <xdr:rowOff>42901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681" b="9779"/>
        <a:stretch/>
      </xdr:blipFill>
      <xdr:spPr>
        <a:xfrm>
          <a:off x="0" y="1162051"/>
          <a:ext cx="8620125" cy="1224000"/>
        </a:xfrm>
        <a:prstGeom prst="rect">
          <a:avLst/>
        </a:prstGeom>
      </xdr:spPr>
    </xdr:pic>
    <xdr:clientData/>
  </xdr:twoCellAnchor>
  <xdr:twoCellAnchor>
    <xdr:from>
      <xdr:col>4</xdr:col>
      <xdr:colOff>533400</xdr:colOff>
      <xdr:row>1</xdr:row>
      <xdr:rowOff>152400</xdr:rowOff>
    </xdr:from>
    <xdr:to>
      <xdr:col>7</xdr:col>
      <xdr:colOff>324600</xdr:colOff>
      <xdr:row>3</xdr:row>
      <xdr:rowOff>131400</xdr:rowOff>
    </xdr:to>
    <xdr:sp macro="" textlink="">
      <xdr:nvSpPr>
        <xdr:cNvPr id="9" name="Rectangle à coins arrondis 2">
          <a:hlinkClick xmlns:r="http://schemas.openxmlformats.org/officeDocument/2006/relationships" r:id="rId7" tooltip="Scorecard"/>
          <a:extLst>
            <a:ext uri="{FF2B5EF4-FFF2-40B4-BE49-F238E27FC236}">
              <a16:creationId xmlns:a16="http://schemas.microsoft.com/office/drawing/2014/main" id="{00000000-0008-0000-0000-000009000000}"/>
            </a:ext>
          </a:extLst>
        </xdr:cNvPr>
        <xdr:cNvSpPr>
          <a:spLocks noChangeArrowheads="1"/>
        </xdr:cNvSpPr>
      </xdr:nvSpPr>
      <xdr:spPr bwMode="auto">
        <a:xfrm>
          <a:off x="3124200" y="342900"/>
          <a:ext cx="1620000" cy="360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anose="020B0604020202020204" pitchFamily="34" charset="0"/>
              <a:cs typeface="Arial" panose="020B0604020202020204" pitchFamily="34" charset="0"/>
            </a:rPr>
            <a:t>Scorecard</a:t>
          </a:r>
          <a:endParaRPr lang="fr-FR" sz="1200" b="0" i="0" u="none" strike="noStrike" baseline="0">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0</xdr:colOff>
      <xdr:row>1</xdr:row>
      <xdr:rowOff>152400</xdr:rowOff>
    </xdr:from>
    <xdr:to>
      <xdr:col>10</xdr:col>
      <xdr:colOff>400800</xdr:colOff>
      <xdr:row>3</xdr:row>
      <xdr:rowOff>131400</xdr:rowOff>
    </xdr:to>
    <xdr:sp macro="" textlink="">
      <xdr:nvSpPr>
        <xdr:cNvPr id="10" name="Rectangle à coins arrondis 2">
          <a:hlinkClick xmlns:r="http://schemas.openxmlformats.org/officeDocument/2006/relationships" r:id="rId8" tooltip="Acknowledgments"/>
          <a:extLst>
            <a:ext uri="{FF2B5EF4-FFF2-40B4-BE49-F238E27FC236}">
              <a16:creationId xmlns:a16="http://schemas.microsoft.com/office/drawing/2014/main" id="{00000000-0008-0000-0000-00000A000000}"/>
            </a:ext>
          </a:extLst>
        </xdr:cNvPr>
        <xdr:cNvSpPr>
          <a:spLocks noChangeArrowheads="1"/>
        </xdr:cNvSpPr>
      </xdr:nvSpPr>
      <xdr:spPr bwMode="auto">
        <a:xfrm>
          <a:off x="5029200" y="342900"/>
          <a:ext cx="1620000" cy="360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baseline="0">
              <a:solidFill>
                <a:schemeClr val="bg1"/>
              </a:solidFill>
              <a:effectLst/>
              <a:latin typeface="Arial" panose="020B0604020202020204" pitchFamily="34" charset="0"/>
              <a:ea typeface="+mn-ea"/>
              <a:cs typeface="Arial" panose="020B0604020202020204" pitchFamily="34" charset="0"/>
            </a:rPr>
            <a:t>Acknowledgments</a:t>
          </a:r>
          <a:endParaRPr lang="fr-FR" sz="2000" b="0" i="0" u="none" strike="noStrik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350827</xdr:colOff>
      <xdr:row>2</xdr:row>
      <xdr:rowOff>84401</xdr:rowOff>
    </xdr:from>
    <xdr:to>
      <xdr:col>21</xdr:col>
      <xdr:colOff>306645</xdr:colOff>
      <xdr:row>28</xdr:row>
      <xdr:rowOff>81222</xdr:rowOff>
    </xdr:to>
    <xdr:grpSp>
      <xdr:nvGrpSpPr>
        <xdr:cNvPr id="13" name="Group 12">
          <a:extLst>
            <a:ext uri="{FF2B5EF4-FFF2-40B4-BE49-F238E27FC236}">
              <a16:creationId xmlns:a16="http://schemas.microsoft.com/office/drawing/2014/main" id="{00000000-0008-0000-0900-00000D000000}"/>
            </a:ext>
          </a:extLst>
        </xdr:cNvPr>
        <xdr:cNvGrpSpPr/>
      </xdr:nvGrpSpPr>
      <xdr:grpSpPr>
        <a:xfrm>
          <a:off x="8372994" y="359568"/>
          <a:ext cx="5078151" cy="5267321"/>
          <a:chOff x="8372994" y="359568"/>
          <a:chExt cx="5078151" cy="5267321"/>
        </a:xfrm>
      </xdr:grpSpPr>
      <xdr:graphicFrame macro="">
        <xdr:nvGraphicFramePr>
          <xdr:cNvPr id="3" name="Diagram 2">
            <a:extLst>
              <a:ext uri="{FF2B5EF4-FFF2-40B4-BE49-F238E27FC236}">
                <a16:creationId xmlns:a16="http://schemas.microsoft.com/office/drawing/2014/main" id="{00000000-0008-0000-0900-000003000000}"/>
              </a:ext>
            </a:extLst>
          </xdr:cNvPr>
          <xdr:cNvGraphicFramePr/>
        </xdr:nvGraphicFramePr>
        <xdr:xfrm>
          <a:off x="8372994" y="359568"/>
          <a:ext cx="5078151" cy="5267321"/>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pic>
        <xdr:nvPicPr>
          <xdr:cNvPr id="6" name="Image 2" descr="Materials.png">
            <a:hlinkClick xmlns:r="http://schemas.openxmlformats.org/officeDocument/2006/relationships" r:id="rId6" tooltip="Materials"/>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7" cstate="print"/>
          <a:srcRect/>
          <a:stretch>
            <a:fillRect/>
          </a:stretch>
        </xdr:blipFill>
        <xdr:spPr bwMode="auto">
          <a:xfrm>
            <a:off x="12306633" y="3048608"/>
            <a:ext cx="878543" cy="929140"/>
          </a:xfrm>
          <a:prstGeom prst="rect">
            <a:avLst/>
          </a:prstGeom>
          <a:noFill/>
          <a:ln w="9525">
            <a:noFill/>
            <a:miter lim="800000"/>
            <a:headEnd/>
            <a:tailEnd/>
          </a:ln>
        </xdr:spPr>
      </xdr:pic>
      <xdr:pic>
        <xdr:nvPicPr>
          <xdr:cNvPr id="4" name="Image 4" descr="Energy.png">
            <a:hlinkClick xmlns:r="http://schemas.openxmlformats.org/officeDocument/2006/relationships" r:id="rId8" tooltip="Energy"/>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9" cstate="print"/>
          <a:srcRect/>
          <a:stretch>
            <a:fillRect/>
          </a:stretch>
        </xdr:blipFill>
        <xdr:spPr bwMode="auto">
          <a:xfrm>
            <a:off x="10470040" y="763248"/>
            <a:ext cx="895770" cy="930342"/>
          </a:xfrm>
          <a:prstGeom prst="rect">
            <a:avLst/>
          </a:prstGeom>
          <a:noFill/>
          <a:ln w="9525">
            <a:noFill/>
            <a:miter lim="800000"/>
            <a:headEnd/>
            <a:tailEnd/>
          </a:ln>
        </xdr:spPr>
      </xdr:pic>
      <xdr:pic>
        <xdr:nvPicPr>
          <xdr:cNvPr id="5" name="Image 2" descr="Water.png">
            <a:hlinkClick xmlns:r="http://schemas.openxmlformats.org/officeDocument/2006/relationships" r:id="rId10" tooltip="Water"/>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1" cstate="print"/>
          <a:srcRect/>
          <a:stretch>
            <a:fillRect/>
          </a:stretch>
        </xdr:blipFill>
        <xdr:spPr bwMode="auto">
          <a:xfrm>
            <a:off x="11931610" y="1471407"/>
            <a:ext cx="895770" cy="929140"/>
          </a:xfrm>
          <a:prstGeom prst="rect">
            <a:avLst/>
          </a:prstGeom>
          <a:noFill/>
          <a:ln w="9525">
            <a:noFill/>
            <a:miter lim="800000"/>
            <a:headEnd/>
            <a:tailEnd/>
          </a:ln>
          <a:effectLst/>
        </xdr:spPr>
      </xdr:pic>
      <xdr:pic>
        <xdr:nvPicPr>
          <xdr:cNvPr id="7" name="Image 2" descr="HC.png">
            <a:hlinkClick xmlns:r="http://schemas.openxmlformats.org/officeDocument/2006/relationships" r:id="rId12" tooltip="Health &amp; Comfort"/>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3" cstate="print"/>
          <a:srcRect/>
          <a:stretch>
            <a:fillRect/>
          </a:stretch>
        </xdr:blipFill>
        <xdr:spPr bwMode="auto">
          <a:xfrm>
            <a:off x="11292252" y="4307813"/>
            <a:ext cx="885859" cy="929140"/>
          </a:xfrm>
          <a:prstGeom prst="rect">
            <a:avLst/>
          </a:prstGeom>
          <a:noFill/>
          <a:ln w="9525">
            <a:noFill/>
            <a:miter lim="800000"/>
            <a:headEnd/>
            <a:tailEnd/>
          </a:ln>
        </xdr:spPr>
      </xdr:pic>
      <xdr:pic>
        <xdr:nvPicPr>
          <xdr:cNvPr id="8" name="Picture 7">
            <a:hlinkClick xmlns:r="http://schemas.openxmlformats.org/officeDocument/2006/relationships" r:id="rId14" tooltip="Local Environment"/>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5" cstate="print"/>
          <a:stretch>
            <a:fillRect/>
          </a:stretch>
        </xdr:blipFill>
        <xdr:spPr>
          <a:xfrm>
            <a:off x="9680833" y="4308683"/>
            <a:ext cx="855437" cy="929140"/>
          </a:xfrm>
          <a:prstGeom prst="rect">
            <a:avLst/>
          </a:prstGeom>
        </xdr:spPr>
      </xdr:pic>
      <xdr:pic>
        <xdr:nvPicPr>
          <xdr:cNvPr id="9" name="Image 7" descr="management.png">
            <a:hlinkClick xmlns:r="http://schemas.openxmlformats.org/officeDocument/2006/relationships" r:id="rId16" tooltip="Management"/>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7" cstate="print"/>
          <a:srcRect/>
          <a:stretch>
            <a:fillRect/>
          </a:stretch>
        </xdr:blipFill>
        <xdr:spPr bwMode="auto">
          <a:xfrm>
            <a:off x="8657860" y="3038973"/>
            <a:ext cx="875897" cy="929140"/>
          </a:xfrm>
          <a:prstGeom prst="rect">
            <a:avLst/>
          </a:prstGeom>
          <a:noFill/>
          <a:ln w="9525">
            <a:noFill/>
            <a:miter lim="800000"/>
            <a:headEnd/>
            <a:tailEnd/>
          </a:ln>
        </xdr:spPr>
      </xdr:pic>
      <xdr:pic>
        <xdr:nvPicPr>
          <xdr:cNvPr id="10" name="Image 2" descr="Innovation.png">
            <a:hlinkClick xmlns:r="http://schemas.openxmlformats.org/officeDocument/2006/relationships" r:id="rId18" tooltip="Innovation"/>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9" cstate="print"/>
          <a:srcRect/>
          <a:stretch>
            <a:fillRect/>
          </a:stretch>
        </xdr:blipFill>
        <xdr:spPr bwMode="auto">
          <a:xfrm>
            <a:off x="9012811" y="1473515"/>
            <a:ext cx="895770" cy="937924"/>
          </a:xfrm>
          <a:prstGeom prst="rect">
            <a:avLst/>
          </a:prstGeom>
          <a:noFill/>
          <a:ln w="9525">
            <a:noFill/>
            <a:miter lim="800000"/>
            <a:headEnd/>
            <a:tailEnd/>
          </a:ln>
        </xdr:spPr>
      </xdr:pic>
    </xdr:grpSp>
    <xdr:clientData/>
  </xdr:twoCellAnchor>
  <xdr:twoCellAnchor>
    <xdr:from>
      <xdr:col>11</xdr:col>
      <xdr:colOff>135460</xdr:colOff>
      <xdr:row>0</xdr:row>
      <xdr:rowOff>70916</xdr:rowOff>
    </xdr:from>
    <xdr:to>
      <xdr:col>12</xdr:col>
      <xdr:colOff>495794</xdr:colOff>
      <xdr:row>2</xdr:row>
      <xdr:rowOff>83749</xdr:rowOff>
    </xdr:to>
    <xdr:sp macro="" textlink="">
      <xdr:nvSpPr>
        <xdr:cNvPr id="11" name="Rectangle à coins arrondis 2">
          <a:hlinkClick xmlns:r="http://schemas.openxmlformats.org/officeDocument/2006/relationships" r:id="rId20" tooltip="Instructions"/>
          <a:extLst>
            <a:ext uri="{FF2B5EF4-FFF2-40B4-BE49-F238E27FC236}">
              <a16:creationId xmlns:a16="http://schemas.microsoft.com/office/drawing/2014/main" id="{00000000-0008-0000-0900-00000B000000}"/>
            </a:ext>
          </a:extLst>
        </xdr:cNvPr>
        <xdr:cNvSpPr>
          <a:spLocks noChangeArrowheads="1"/>
        </xdr:cNvSpPr>
      </xdr:nvSpPr>
      <xdr:spPr bwMode="auto">
        <a:xfrm>
          <a:off x="6855877" y="70916"/>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Instructions</a:t>
          </a:r>
        </a:p>
      </xdr:txBody>
    </xdr:sp>
    <xdr:clientData/>
  </xdr:twoCellAnchor>
  <xdr:twoCellAnchor>
    <xdr:from>
      <xdr:col>9</xdr:col>
      <xdr:colOff>384696</xdr:colOff>
      <xdr:row>0</xdr:row>
      <xdr:rowOff>70916</xdr:rowOff>
    </xdr:from>
    <xdr:to>
      <xdr:col>11</xdr:col>
      <xdr:colOff>25362</xdr:colOff>
      <xdr:row>2</xdr:row>
      <xdr:rowOff>83749</xdr:rowOff>
    </xdr:to>
    <xdr:sp macro="" textlink="">
      <xdr:nvSpPr>
        <xdr:cNvPr id="14" name="Rectangle à coins arrondis 2">
          <a:hlinkClick xmlns:r="http://schemas.openxmlformats.org/officeDocument/2006/relationships" r:id="rId21" tooltip="Introduction"/>
          <a:extLst>
            <a:ext uri="{FF2B5EF4-FFF2-40B4-BE49-F238E27FC236}">
              <a16:creationId xmlns:a16="http://schemas.microsoft.com/office/drawing/2014/main" id="{00000000-0008-0000-0900-00000E000000}"/>
            </a:ext>
          </a:extLst>
        </xdr:cNvPr>
        <xdr:cNvSpPr>
          <a:spLocks noChangeArrowheads="1"/>
        </xdr:cNvSpPr>
      </xdr:nvSpPr>
      <xdr:spPr bwMode="auto">
        <a:xfrm>
          <a:off x="5665779" y="70916"/>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Introduction</a:t>
          </a:r>
        </a:p>
      </xdr:txBody>
    </xdr:sp>
    <xdr:clientData/>
  </xdr:twoCellAnchor>
  <xdr:twoCellAnchor editAs="oneCell">
    <xdr:from>
      <xdr:col>20</xdr:col>
      <xdr:colOff>596417</xdr:colOff>
      <xdr:row>3</xdr:row>
      <xdr:rowOff>1870</xdr:rowOff>
    </xdr:from>
    <xdr:to>
      <xdr:col>22</xdr:col>
      <xdr:colOff>243416</xdr:colOff>
      <xdr:row>6</xdr:row>
      <xdr:rowOff>102630</xdr:rowOff>
    </xdr:to>
    <xdr:pic>
      <xdr:nvPicPr>
        <xdr:cNvPr id="15" name="Picture 8" descr="VGBC_logo.jpg">
          <a:hlinkClick xmlns:r="http://schemas.openxmlformats.org/officeDocument/2006/relationships" r:id="rId22"/>
          <a:extLst>
            <a:ext uri="{FF2B5EF4-FFF2-40B4-BE49-F238E27FC236}">
              <a16:creationId xmlns:a16="http://schemas.microsoft.com/office/drawing/2014/main" id="{00000000-0008-0000-0900-00000F000000}"/>
            </a:ext>
          </a:extLst>
        </xdr:cNvPr>
        <xdr:cNvPicPr>
          <a:picLocks noChangeAspect="1"/>
        </xdr:cNvPicPr>
      </xdr:nvPicPr>
      <xdr:blipFill rotWithShape="1">
        <a:blip xmlns:r="http://schemas.openxmlformats.org/officeDocument/2006/relationships" r:embed="rId23" cstate="print"/>
        <a:srcRect l="3504" t="7124" r="1892" b="19137"/>
        <a:stretch/>
      </xdr:blipFill>
      <xdr:spPr>
        <a:xfrm>
          <a:off x="13328167" y="382870"/>
          <a:ext cx="1044000" cy="831010"/>
        </a:xfrm>
        <a:prstGeom prst="rect">
          <a:avLst/>
        </a:prstGeom>
      </xdr:spPr>
    </xdr:pic>
    <xdr:clientData/>
  </xdr:twoCellAnchor>
  <xdr:twoCellAnchor>
    <xdr:from>
      <xdr:col>16</xdr:col>
      <xdr:colOff>137583</xdr:colOff>
      <xdr:row>33</xdr:row>
      <xdr:rowOff>84666</xdr:rowOff>
    </xdr:from>
    <xdr:to>
      <xdr:col>18</xdr:col>
      <xdr:colOff>613833</xdr:colOff>
      <xdr:row>35</xdr:row>
      <xdr:rowOff>74082</xdr:rowOff>
    </xdr:to>
    <xdr:sp macro="" textlink="">
      <xdr:nvSpPr>
        <xdr:cNvPr id="16" name="Rectangle à coins arrondis 2">
          <a:hlinkClick xmlns:r="http://schemas.openxmlformats.org/officeDocument/2006/relationships" r:id="rId24" tooltip="Graphical Results "/>
          <a:extLst>
            <a:ext uri="{FF2B5EF4-FFF2-40B4-BE49-F238E27FC236}">
              <a16:creationId xmlns:a16="http://schemas.microsoft.com/office/drawing/2014/main" id="{00000000-0008-0000-0900-000010000000}"/>
            </a:ext>
          </a:extLst>
        </xdr:cNvPr>
        <xdr:cNvSpPr>
          <a:spLocks noChangeArrowheads="1"/>
        </xdr:cNvSpPr>
      </xdr:nvSpPr>
      <xdr:spPr bwMode="auto">
        <a:xfrm>
          <a:off x="10149416" y="6847416"/>
          <a:ext cx="1619250" cy="613833"/>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anose="020B0604020202020204" pitchFamily="34" charset="0"/>
              <a:cs typeface="Arial" panose="020B0604020202020204" pitchFamily="34" charset="0"/>
            </a:rPr>
            <a:t>Graphical Results here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xdr:row>
      <xdr:rowOff>76200</xdr:rowOff>
    </xdr:from>
    <xdr:to>
      <xdr:col>5</xdr:col>
      <xdr:colOff>323849</xdr:colOff>
      <xdr:row>20</xdr:row>
      <xdr:rowOff>97064</xdr:rowOff>
    </xdr:to>
    <xdr:graphicFrame macro="">
      <xdr:nvGraphicFramePr>
        <xdr:cNvPr id="4" name="Graphique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6</xdr:row>
      <xdr:rowOff>28575</xdr:rowOff>
    </xdr:from>
    <xdr:to>
      <xdr:col>11</xdr:col>
      <xdr:colOff>361950</xdr:colOff>
      <xdr:row>20</xdr:row>
      <xdr:rowOff>85725</xdr:rowOff>
    </xdr:to>
    <xdr:graphicFrame macro="">
      <xdr:nvGraphicFramePr>
        <xdr:cNvPr id="5" name="Graphique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209550</xdr:colOff>
      <xdr:row>20</xdr:row>
      <xdr:rowOff>142874</xdr:rowOff>
    </xdr:from>
    <xdr:to>
      <xdr:col>5</xdr:col>
      <xdr:colOff>704850</xdr:colOff>
      <xdr:row>38</xdr:row>
      <xdr:rowOff>114299</xdr:rowOff>
    </xdr:to>
    <xdr:graphicFrame macro="">
      <xdr:nvGraphicFramePr>
        <xdr:cNvPr id="6" name="Graphique 5">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628650</xdr:colOff>
      <xdr:row>21</xdr:row>
      <xdr:rowOff>19049</xdr:rowOff>
    </xdr:from>
    <xdr:to>
      <xdr:col>11</xdr:col>
      <xdr:colOff>647699</xdr:colOff>
      <xdr:row>36</xdr:row>
      <xdr:rowOff>123824</xdr:rowOff>
    </xdr:to>
    <xdr:graphicFrame macro="">
      <xdr:nvGraphicFramePr>
        <xdr:cNvPr id="7" name="Graphique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396375</xdr:colOff>
      <xdr:row>0</xdr:row>
      <xdr:rowOff>57150</xdr:rowOff>
    </xdr:from>
    <xdr:to>
      <xdr:col>11</xdr:col>
      <xdr:colOff>714375</xdr:colOff>
      <xdr:row>0</xdr:row>
      <xdr:rowOff>345150</xdr:rowOff>
    </xdr:to>
    <xdr:sp macro="" textlink="">
      <xdr:nvSpPr>
        <xdr:cNvPr id="10" name="Rectangle à coins arrondis 2">
          <a:hlinkClick xmlns:r="http://schemas.openxmlformats.org/officeDocument/2006/relationships" r:id="rId5" tooltip="Scorecard"/>
          <a:extLst>
            <a:ext uri="{FF2B5EF4-FFF2-40B4-BE49-F238E27FC236}">
              <a16:creationId xmlns:a16="http://schemas.microsoft.com/office/drawing/2014/main" id="{00000000-0008-0000-0A00-00000A000000}"/>
            </a:ext>
          </a:extLst>
        </xdr:cNvPr>
        <xdr:cNvSpPr>
          <a:spLocks noChangeArrowheads="1"/>
        </xdr:cNvSpPr>
      </xdr:nvSpPr>
      <xdr:spPr bwMode="auto">
        <a:xfrm>
          <a:off x="8016375" y="5715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Scorecard</a:t>
          </a:r>
        </a:p>
      </xdr:txBody>
    </xdr:sp>
    <xdr:clientData/>
  </xdr:twoCellAnchor>
  <xdr:twoCellAnchor>
    <xdr:from>
      <xdr:col>8</xdr:col>
      <xdr:colOff>716523</xdr:colOff>
      <xdr:row>0</xdr:row>
      <xdr:rowOff>57150</xdr:rowOff>
    </xdr:from>
    <xdr:to>
      <xdr:col>10</xdr:col>
      <xdr:colOff>272523</xdr:colOff>
      <xdr:row>0</xdr:row>
      <xdr:rowOff>345150</xdr:rowOff>
    </xdr:to>
    <xdr:sp macro="" textlink="">
      <xdr:nvSpPr>
        <xdr:cNvPr id="11" name="Rectangle à coins arrondis 2">
          <a:hlinkClick xmlns:r="http://schemas.openxmlformats.org/officeDocument/2006/relationships" r:id="rId6" tooltip="Instructions"/>
          <a:extLst>
            <a:ext uri="{FF2B5EF4-FFF2-40B4-BE49-F238E27FC236}">
              <a16:creationId xmlns:a16="http://schemas.microsoft.com/office/drawing/2014/main" id="{00000000-0008-0000-0A00-00000B000000}"/>
            </a:ext>
          </a:extLst>
        </xdr:cNvPr>
        <xdr:cNvSpPr>
          <a:spLocks noChangeArrowheads="1"/>
        </xdr:cNvSpPr>
      </xdr:nvSpPr>
      <xdr:spPr bwMode="auto">
        <a:xfrm>
          <a:off x="6812523" y="5715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Instructions</a:t>
          </a:r>
        </a:p>
      </xdr:txBody>
    </xdr:sp>
    <xdr:clientData/>
  </xdr:twoCellAnchor>
  <xdr:twoCellAnchor>
    <xdr:from>
      <xdr:col>7</xdr:col>
      <xdr:colOff>272549</xdr:colOff>
      <xdr:row>0</xdr:row>
      <xdr:rowOff>57150</xdr:rowOff>
    </xdr:from>
    <xdr:to>
      <xdr:col>8</xdr:col>
      <xdr:colOff>590549</xdr:colOff>
      <xdr:row>0</xdr:row>
      <xdr:rowOff>345150</xdr:rowOff>
    </xdr:to>
    <xdr:sp macro="" textlink="">
      <xdr:nvSpPr>
        <xdr:cNvPr id="12" name="Rectangle à coins arrondis 2">
          <a:hlinkClick xmlns:r="http://schemas.openxmlformats.org/officeDocument/2006/relationships" r:id="rId7" tooltip="Introduction"/>
          <a:extLst>
            <a:ext uri="{FF2B5EF4-FFF2-40B4-BE49-F238E27FC236}">
              <a16:creationId xmlns:a16="http://schemas.microsoft.com/office/drawing/2014/main" id="{00000000-0008-0000-0A00-00000C000000}"/>
            </a:ext>
          </a:extLst>
        </xdr:cNvPr>
        <xdr:cNvSpPr>
          <a:spLocks noChangeArrowheads="1"/>
        </xdr:cNvSpPr>
      </xdr:nvSpPr>
      <xdr:spPr bwMode="auto">
        <a:xfrm>
          <a:off x="5606549" y="5715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Introduction</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0.75371</cdr:x>
      <cdr:y>0.20329</cdr:y>
    </cdr:from>
    <cdr:to>
      <cdr:x>0.98387</cdr:x>
      <cdr:y>0.2835</cdr:y>
    </cdr:to>
    <cdr:sp macro="" textlink="">
      <cdr:nvSpPr>
        <cdr:cNvPr id="2" name="ZoneTexte 1"/>
        <cdr:cNvSpPr txBox="1"/>
      </cdr:nvSpPr>
      <cdr:spPr>
        <a:xfrm xmlns:a="http://schemas.openxmlformats.org/drawingml/2006/main">
          <a:off x="3115725" y="546412"/>
          <a:ext cx="951450" cy="2155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solidFill>
                <a:srgbClr val="FF0000"/>
              </a:solidFill>
            </a:rPr>
            <a:t>Uncertified</a:t>
          </a:r>
        </a:p>
      </cdr:txBody>
    </cdr:sp>
  </cdr:relSizeAnchor>
  <cdr:relSizeAnchor xmlns:cdr="http://schemas.openxmlformats.org/drawingml/2006/chartDrawing">
    <cdr:from>
      <cdr:x>0.71205</cdr:x>
      <cdr:y>0.74638</cdr:y>
    </cdr:from>
    <cdr:to>
      <cdr:x>0.92455</cdr:x>
      <cdr:y>0.8193</cdr:y>
    </cdr:to>
    <cdr:sp macro="" textlink="">
      <cdr:nvSpPr>
        <cdr:cNvPr id="3" name="ZoneTexte 1"/>
        <cdr:cNvSpPr txBox="1"/>
      </cdr:nvSpPr>
      <cdr:spPr>
        <a:xfrm xmlns:a="http://schemas.openxmlformats.org/drawingml/2006/main">
          <a:off x="3119849" y="2006175"/>
          <a:ext cx="931069" cy="1959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b="1">
              <a:solidFill>
                <a:srgbClr val="58B527"/>
              </a:solidFill>
            </a:rPr>
            <a:t>Certified</a:t>
          </a:r>
          <a:endParaRPr lang="fr-FR" sz="1100" b="1">
            <a:solidFill>
              <a:srgbClr val="58B527"/>
            </a:solidFill>
          </a:endParaRPr>
        </a:p>
      </cdr:txBody>
    </cdr:sp>
  </cdr:relSizeAnchor>
  <cdr:relSizeAnchor xmlns:cdr="http://schemas.openxmlformats.org/drawingml/2006/chartDrawing">
    <cdr:from>
      <cdr:x>0.5113</cdr:x>
      <cdr:y>0.91015</cdr:y>
    </cdr:from>
    <cdr:to>
      <cdr:x>0.7238</cdr:x>
      <cdr:y>0.98307</cdr:y>
    </cdr:to>
    <cdr:sp macro="" textlink="">
      <cdr:nvSpPr>
        <cdr:cNvPr id="4" name="ZoneTexte 1"/>
        <cdr:cNvSpPr txBox="1"/>
      </cdr:nvSpPr>
      <cdr:spPr>
        <a:xfrm xmlns:a="http://schemas.openxmlformats.org/drawingml/2006/main">
          <a:off x="2113623" y="2446365"/>
          <a:ext cx="878443" cy="19599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chemeClr val="bg1">
                  <a:lumMod val="50000"/>
                </a:schemeClr>
              </a:solidFill>
            </a:rPr>
            <a:t>Silver</a:t>
          </a:r>
          <a:endParaRPr lang="fr-FR" sz="1100" b="1">
            <a:solidFill>
              <a:schemeClr val="bg1">
                <a:lumMod val="50000"/>
              </a:schemeClr>
            </a:solidFill>
          </a:endParaRPr>
        </a:p>
      </cdr:txBody>
    </cdr:sp>
  </cdr:relSizeAnchor>
  <cdr:relSizeAnchor xmlns:cdr="http://schemas.openxmlformats.org/drawingml/2006/chartDrawing">
    <cdr:from>
      <cdr:x>0.01818</cdr:x>
      <cdr:y>0.39236</cdr:y>
    </cdr:from>
    <cdr:to>
      <cdr:x>0.23068</cdr:x>
      <cdr:y>0.46528</cdr:y>
    </cdr:to>
    <cdr:sp macro="" textlink="">
      <cdr:nvSpPr>
        <cdr:cNvPr id="5" name="ZoneTexte 1"/>
        <cdr:cNvSpPr txBox="1"/>
      </cdr:nvSpPr>
      <cdr:spPr>
        <a:xfrm xmlns:a="http://schemas.openxmlformats.org/drawingml/2006/main">
          <a:off x="75154" y="1054610"/>
          <a:ext cx="878443" cy="19599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fr-FR" sz="1200" b="1">
              <a:solidFill>
                <a:schemeClr val="accent5">
                  <a:lumMod val="50000"/>
                </a:schemeClr>
              </a:solidFill>
            </a:rPr>
            <a:t>Platinum</a:t>
          </a:r>
          <a:endParaRPr lang="fr-FR" sz="1100" b="1">
            <a:solidFill>
              <a:schemeClr val="accent5">
                <a:lumMod val="50000"/>
              </a:schemeClr>
            </a:solidFill>
          </a:endParaRPr>
        </a:p>
      </cdr:txBody>
    </cdr:sp>
  </cdr:relSizeAnchor>
  <cdr:relSizeAnchor xmlns:cdr="http://schemas.openxmlformats.org/drawingml/2006/chartDrawing">
    <cdr:from>
      <cdr:x>0.21831</cdr:x>
      <cdr:y>0.89611</cdr:y>
    </cdr:from>
    <cdr:to>
      <cdr:x>0.43081</cdr:x>
      <cdr:y>0.96903</cdr:y>
    </cdr:to>
    <cdr:sp macro="" textlink="">
      <cdr:nvSpPr>
        <cdr:cNvPr id="6" name="ZoneTexte 1"/>
        <cdr:cNvSpPr txBox="1"/>
      </cdr:nvSpPr>
      <cdr:spPr>
        <a:xfrm xmlns:a="http://schemas.openxmlformats.org/drawingml/2006/main">
          <a:off x="902481" y="2408622"/>
          <a:ext cx="878443" cy="19599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200" b="1">
              <a:solidFill>
                <a:srgbClr val="FFC000"/>
              </a:solidFill>
            </a:rPr>
            <a:t>Gold</a:t>
          </a:r>
          <a:endParaRPr lang="fr-FR" sz="1100" b="1">
            <a:solidFill>
              <a:srgbClr val="FFC000"/>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9</xdr:col>
      <xdr:colOff>117531</xdr:colOff>
      <xdr:row>0</xdr:row>
      <xdr:rowOff>21167</xdr:rowOff>
    </xdr:from>
    <xdr:to>
      <xdr:col>11</xdr:col>
      <xdr:colOff>190502</xdr:colOff>
      <xdr:row>2</xdr:row>
      <xdr:rowOff>95293</xdr:rowOff>
    </xdr:to>
    <xdr:pic>
      <xdr:nvPicPr>
        <xdr:cNvPr id="4" name="Image 4" descr="Energy.png">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0573864" y="21167"/>
          <a:ext cx="887888" cy="899626"/>
        </a:xfrm>
        <a:prstGeom prst="rect">
          <a:avLst/>
        </a:prstGeom>
        <a:noFill/>
        <a:ln w="9525">
          <a:noFill/>
          <a:miter lim="800000"/>
          <a:headEnd/>
          <a:tailEnd/>
        </a:ln>
      </xdr:spPr>
    </xdr:pic>
    <xdr:clientData/>
  </xdr:twoCellAnchor>
  <xdr:twoCellAnchor>
    <xdr:from>
      <xdr:col>1</xdr:col>
      <xdr:colOff>0</xdr:colOff>
      <xdr:row>11</xdr:row>
      <xdr:rowOff>137579</xdr:rowOff>
    </xdr:from>
    <xdr:to>
      <xdr:col>1</xdr:col>
      <xdr:colOff>1980000</xdr:colOff>
      <xdr:row>13</xdr:row>
      <xdr:rowOff>46746</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0B00-000005000000}"/>
            </a:ext>
          </a:extLst>
        </xdr:cNvPr>
        <xdr:cNvSpPr>
          <a:spLocks noChangeArrowheads="1"/>
        </xdr:cNvSpPr>
      </xdr:nvSpPr>
      <xdr:spPr bwMode="auto">
        <a:xfrm>
          <a:off x="317500" y="3333746"/>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619125</xdr:colOff>
      <xdr:row>1</xdr:row>
      <xdr:rowOff>114300</xdr:rowOff>
    </xdr:from>
    <xdr:to>
      <xdr:col>5</xdr:col>
      <xdr:colOff>351900</xdr:colOff>
      <xdr:row>3</xdr:row>
      <xdr:rowOff>21300</xdr:rowOff>
    </xdr:to>
    <xdr:sp macro="" textlink="">
      <xdr:nvSpPr>
        <xdr:cNvPr id="8" name="Rectangle à coins arrondis 2">
          <a:hlinkClick xmlns:r="http://schemas.openxmlformats.org/officeDocument/2006/relationships" r:id="rId1" tooltip="Strategy A"/>
          <a:extLst>
            <a:ext uri="{FF2B5EF4-FFF2-40B4-BE49-F238E27FC236}">
              <a16:creationId xmlns:a16="http://schemas.microsoft.com/office/drawing/2014/main" id="{00000000-0008-0000-0C00-000008000000}"/>
            </a:ext>
          </a:extLst>
        </xdr:cNvPr>
        <xdr:cNvSpPr>
          <a:spLocks noChangeArrowheads="1"/>
        </xdr:cNvSpPr>
      </xdr:nvSpPr>
      <xdr:spPr bwMode="auto">
        <a:xfrm>
          <a:off x="5038725" y="409575"/>
          <a:ext cx="1152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476249</xdr:colOff>
      <xdr:row>1</xdr:row>
      <xdr:rowOff>114300</xdr:rowOff>
    </xdr:from>
    <xdr:to>
      <xdr:col>6</xdr:col>
      <xdr:colOff>409049</xdr:colOff>
      <xdr:row>3</xdr:row>
      <xdr:rowOff>21300</xdr:rowOff>
    </xdr:to>
    <xdr:sp macro="" textlink="">
      <xdr:nvSpPr>
        <xdr:cNvPr id="9" name="Rectangle à coins arrondis 2">
          <a:hlinkClick xmlns:r="http://schemas.openxmlformats.org/officeDocument/2006/relationships" r:id="rId2" tooltip="Strategy B"/>
          <a:extLst>
            <a:ext uri="{FF2B5EF4-FFF2-40B4-BE49-F238E27FC236}">
              <a16:creationId xmlns:a16="http://schemas.microsoft.com/office/drawing/2014/main" id="{00000000-0008-0000-0C00-000009000000}"/>
            </a:ext>
          </a:extLst>
        </xdr:cNvPr>
        <xdr:cNvSpPr>
          <a:spLocks noChangeArrowheads="1"/>
        </xdr:cNvSpPr>
      </xdr:nvSpPr>
      <xdr:spPr bwMode="auto">
        <a:xfrm>
          <a:off x="6315074" y="409575"/>
          <a:ext cx="1152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6</xdr:col>
      <xdr:colOff>542923</xdr:colOff>
      <xdr:row>1</xdr:row>
      <xdr:rowOff>114300</xdr:rowOff>
    </xdr:from>
    <xdr:to>
      <xdr:col>7</xdr:col>
      <xdr:colOff>475723</xdr:colOff>
      <xdr:row>3</xdr:row>
      <xdr:rowOff>21300</xdr:rowOff>
    </xdr:to>
    <xdr:sp macro="" textlink="">
      <xdr:nvSpPr>
        <xdr:cNvPr id="10" name="Rectangle à coins arrondis 2">
          <a:hlinkClick xmlns:r="http://schemas.openxmlformats.org/officeDocument/2006/relationships" r:id="rId3" tooltip="Strategy C"/>
          <a:extLst>
            <a:ext uri="{FF2B5EF4-FFF2-40B4-BE49-F238E27FC236}">
              <a16:creationId xmlns:a16="http://schemas.microsoft.com/office/drawing/2014/main" id="{00000000-0008-0000-0C00-00000A000000}"/>
            </a:ext>
          </a:extLst>
        </xdr:cNvPr>
        <xdr:cNvSpPr>
          <a:spLocks noChangeArrowheads="1"/>
        </xdr:cNvSpPr>
      </xdr:nvSpPr>
      <xdr:spPr bwMode="auto">
        <a:xfrm>
          <a:off x="7600948" y="409575"/>
          <a:ext cx="1152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0</xdr:col>
      <xdr:colOff>238125</xdr:colOff>
      <xdr:row>1</xdr:row>
      <xdr:rowOff>114301</xdr:rowOff>
    </xdr:from>
    <xdr:to>
      <xdr:col>2</xdr:col>
      <xdr:colOff>399825</xdr:colOff>
      <xdr:row>3</xdr:row>
      <xdr:rowOff>57301</xdr:rowOff>
    </xdr:to>
    <xdr:sp macro="" textlink="">
      <xdr:nvSpPr>
        <xdr:cNvPr id="12" name="Rectangle à coins arrondis 2">
          <a:hlinkClick xmlns:r="http://schemas.openxmlformats.org/officeDocument/2006/relationships" r:id="rId4" tooltip="Back to Energy"/>
          <a:extLst>
            <a:ext uri="{FF2B5EF4-FFF2-40B4-BE49-F238E27FC236}">
              <a16:creationId xmlns:a16="http://schemas.microsoft.com/office/drawing/2014/main" id="{00000000-0008-0000-0C00-00000C000000}"/>
            </a:ext>
          </a:extLst>
        </xdr:cNvPr>
        <xdr:cNvSpPr>
          <a:spLocks noChangeArrowheads="1"/>
        </xdr:cNvSpPr>
      </xdr:nvSpPr>
      <xdr:spPr bwMode="auto">
        <a:xfrm>
          <a:off x="238125" y="409576"/>
          <a:ext cx="180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838200</xdr:colOff>
      <xdr:row>1</xdr:row>
      <xdr:rowOff>114300</xdr:rowOff>
    </xdr:from>
    <xdr:to>
      <xdr:col>3</xdr:col>
      <xdr:colOff>1247550</xdr:colOff>
      <xdr:row>3</xdr:row>
      <xdr:rowOff>57300</xdr:rowOff>
    </xdr:to>
    <xdr:sp macro="" textlink="">
      <xdr:nvSpPr>
        <xdr:cNvPr id="13" name="Rectangle à coins arrondis 2">
          <a:hlinkClick xmlns:r="http://schemas.openxmlformats.org/officeDocument/2006/relationships" r:id="rId5" tooltip="See the Scorecard"/>
          <a:extLst>
            <a:ext uri="{FF2B5EF4-FFF2-40B4-BE49-F238E27FC236}">
              <a16:creationId xmlns:a16="http://schemas.microsoft.com/office/drawing/2014/main" id="{00000000-0008-0000-0C00-00000D000000}"/>
            </a:ext>
          </a:extLst>
        </xdr:cNvPr>
        <xdr:cNvSpPr>
          <a:spLocks noChangeArrowheads="1"/>
        </xdr:cNvSpPr>
      </xdr:nvSpPr>
      <xdr:spPr bwMode="auto">
        <a:xfrm>
          <a:off x="2476500" y="409575"/>
          <a:ext cx="180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7</xdr:col>
      <xdr:colOff>128175</xdr:colOff>
      <xdr:row>18</xdr:row>
      <xdr:rowOff>76200</xdr:rowOff>
    </xdr:from>
    <xdr:to>
      <xdr:col>12</xdr:col>
      <xdr:colOff>571500</xdr:colOff>
      <xdr:row>39</xdr:row>
      <xdr:rowOff>903</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05400" y="5248275"/>
          <a:ext cx="4320000" cy="4325253"/>
        </a:xfrm>
        <a:prstGeom prst="rect">
          <a:avLst/>
        </a:prstGeom>
      </xdr:spPr>
    </xdr:pic>
    <xdr:clientData/>
  </xdr:twoCellAnchor>
  <xdr:twoCellAnchor editAs="oneCell">
    <xdr:from>
      <xdr:col>1</xdr:col>
      <xdr:colOff>28575</xdr:colOff>
      <xdr:row>19</xdr:row>
      <xdr:rowOff>133350</xdr:rowOff>
    </xdr:from>
    <xdr:to>
      <xdr:col>1</xdr:col>
      <xdr:colOff>388575</xdr:colOff>
      <xdr:row>21</xdr:row>
      <xdr:rowOff>112350</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 y="5572125"/>
          <a:ext cx="360000" cy="360000"/>
        </a:xfrm>
        <a:prstGeom prst="rect">
          <a:avLst/>
        </a:prstGeom>
      </xdr:spPr>
    </xdr:pic>
    <xdr:clientData/>
  </xdr:twoCellAnchor>
  <xdr:oneCellAnchor>
    <xdr:from>
      <xdr:col>1</xdr:col>
      <xdr:colOff>0</xdr:colOff>
      <xdr:row>22</xdr:row>
      <xdr:rowOff>0</xdr:rowOff>
    </xdr:from>
    <xdr:ext cx="401641" cy="396000"/>
    <xdr:pic>
      <xdr:nvPicPr>
        <xdr:cNvPr id="16" name="Picture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47650" y="5819775"/>
          <a:ext cx="401641" cy="396000"/>
        </a:xfrm>
        <a:prstGeom prst="rect">
          <a:avLst/>
        </a:prstGeom>
      </xdr:spPr>
    </xdr:pic>
    <xdr:clientData/>
  </xdr:oneCellAnchor>
  <xdr:twoCellAnchor editAs="oneCell">
    <xdr:from>
      <xdr:col>1</xdr:col>
      <xdr:colOff>38100</xdr:colOff>
      <xdr:row>26</xdr:row>
      <xdr:rowOff>123825</xdr:rowOff>
    </xdr:from>
    <xdr:to>
      <xdr:col>1</xdr:col>
      <xdr:colOff>398100</xdr:colOff>
      <xdr:row>28</xdr:row>
      <xdr:rowOff>83775</xdr:rowOff>
    </xdr:to>
    <xdr:pic>
      <xdr:nvPicPr>
        <xdr:cNvPr id="17" name="Picture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0" y="6877050"/>
          <a:ext cx="360000" cy="360000"/>
        </a:xfrm>
        <a:prstGeom prst="rect">
          <a:avLst/>
        </a:prstGeom>
      </xdr:spPr>
    </xdr:pic>
    <xdr:clientData/>
  </xdr:twoCellAnchor>
  <xdr:twoCellAnchor editAs="oneCell">
    <xdr:from>
      <xdr:col>1</xdr:col>
      <xdr:colOff>28575</xdr:colOff>
      <xdr:row>51</xdr:row>
      <xdr:rowOff>142875</xdr:rowOff>
    </xdr:from>
    <xdr:to>
      <xdr:col>1</xdr:col>
      <xdr:colOff>388575</xdr:colOff>
      <xdr:row>53</xdr:row>
      <xdr:rowOff>102825</xdr:rowOff>
    </xdr:to>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 y="12192000"/>
          <a:ext cx="360000" cy="360000"/>
        </a:xfrm>
        <a:prstGeom prst="rect">
          <a:avLst/>
        </a:prstGeom>
      </xdr:spPr>
    </xdr:pic>
    <xdr:clientData/>
  </xdr:twoCellAnchor>
  <xdr:twoCellAnchor editAs="oneCell">
    <xdr:from>
      <xdr:col>1</xdr:col>
      <xdr:colOff>38100</xdr:colOff>
      <xdr:row>57</xdr:row>
      <xdr:rowOff>133350</xdr:rowOff>
    </xdr:from>
    <xdr:to>
      <xdr:col>1</xdr:col>
      <xdr:colOff>398100</xdr:colOff>
      <xdr:row>59</xdr:row>
      <xdr:rowOff>36150</xdr:rowOff>
    </xdr:to>
    <xdr:pic>
      <xdr:nvPicPr>
        <xdr:cNvPr id="19" name="Picture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13744575"/>
          <a:ext cx="360000" cy="360000"/>
        </a:xfrm>
        <a:prstGeom prst="rect">
          <a:avLst/>
        </a:prstGeom>
      </xdr:spPr>
    </xdr:pic>
    <xdr:clientData/>
  </xdr:twoCellAnchor>
  <xdr:oneCellAnchor>
    <xdr:from>
      <xdr:col>1</xdr:col>
      <xdr:colOff>38100</xdr:colOff>
      <xdr:row>55</xdr:row>
      <xdr:rowOff>104775</xdr:rowOff>
    </xdr:from>
    <xdr:ext cx="360000" cy="360000"/>
    <xdr:pic>
      <xdr:nvPicPr>
        <xdr:cNvPr id="20" name="Picture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0" y="7124700"/>
          <a:ext cx="360000" cy="360000"/>
        </a:xfrm>
        <a:prstGeom prst="rect">
          <a:avLst/>
        </a:prstGeom>
      </xdr:spPr>
    </xdr:pic>
    <xdr:clientData/>
  </xdr:oneCellAnchor>
  <xdr:twoCellAnchor editAs="oneCell">
    <xdr:from>
      <xdr:col>1</xdr:col>
      <xdr:colOff>38100</xdr:colOff>
      <xdr:row>93</xdr:row>
      <xdr:rowOff>76200</xdr:rowOff>
    </xdr:from>
    <xdr:to>
      <xdr:col>1</xdr:col>
      <xdr:colOff>398100</xdr:colOff>
      <xdr:row>95</xdr:row>
      <xdr:rowOff>74250</xdr:rowOff>
    </xdr:to>
    <xdr:pic>
      <xdr:nvPicPr>
        <xdr:cNvPr id="22" name="Picture 2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0" y="24050625"/>
          <a:ext cx="360000" cy="360000"/>
        </a:xfrm>
        <a:prstGeom prst="rect">
          <a:avLst/>
        </a:prstGeom>
      </xdr:spPr>
    </xdr:pic>
    <xdr:clientData/>
  </xdr:twoCellAnchor>
  <xdr:twoCellAnchor>
    <xdr:from>
      <xdr:col>8</xdr:col>
      <xdr:colOff>133350</xdr:colOff>
      <xdr:row>1</xdr:row>
      <xdr:rowOff>85725</xdr:rowOff>
    </xdr:from>
    <xdr:to>
      <xdr:col>8</xdr:col>
      <xdr:colOff>581025</xdr:colOff>
      <xdr:row>3</xdr:row>
      <xdr:rowOff>57150</xdr:rowOff>
    </xdr:to>
    <xdr:sp macro="" textlink="">
      <xdr:nvSpPr>
        <xdr:cNvPr id="25" name="Up Arrow 24">
          <a:hlinkClick xmlns:r="http://schemas.openxmlformats.org/officeDocument/2006/relationships" r:id="rId11" tooltip="Back to top"/>
          <a:extLst>
            <a:ext uri="{FF2B5EF4-FFF2-40B4-BE49-F238E27FC236}">
              <a16:creationId xmlns:a16="http://schemas.microsoft.com/office/drawing/2014/main" id="{00000000-0008-0000-0C00-000019000000}"/>
            </a:ext>
          </a:extLst>
        </xdr:cNvPr>
        <xdr:cNvSpPr/>
      </xdr:nvSpPr>
      <xdr:spPr>
        <a:xfrm>
          <a:off x="9629775" y="381000"/>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47625</xdr:colOff>
      <xdr:row>80</xdr:row>
      <xdr:rowOff>47625</xdr:rowOff>
    </xdr:from>
    <xdr:to>
      <xdr:col>1</xdr:col>
      <xdr:colOff>515625</xdr:colOff>
      <xdr:row>82</xdr:row>
      <xdr:rowOff>134625</xdr:rowOff>
    </xdr:to>
    <xdr:pic>
      <xdr:nvPicPr>
        <xdr:cNvPr id="26" name="Picture 25">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 y="18373725"/>
          <a:ext cx="468000" cy="468000"/>
        </a:xfrm>
        <a:prstGeom prst="rect">
          <a:avLst/>
        </a:prstGeom>
      </xdr:spPr>
    </xdr:pic>
    <xdr:clientData/>
  </xdr:twoCellAnchor>
  <xdr:oneCellAnchor>
    <xdr:from>
      <xdr:col>1</xdr:col>
      <xdr:colOff>38100</xdr:colOff>
      <xdr:row>89</xdr:row>
      <xdr:rowOff>19050</xdr:rowOff>
    </xdr:from>
    <xdr:ext cx="360000" cy="360000"/>
    <xdr:pic>
      <xdr:nvPicPr>
        <xdr:cNvPr id="27" name="Picture 26">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20231100"/>
          <a:ext cx="360000" cy="360000"/>
        </a:xfrm>
        <a:prstGeom prst="rect">
          <a:avLst/>
        </a:prstGeom>
      </xdr:spPr>
    </xdr:pic>
    <xdr:clientData/>
  </xdr:oneCellAnchor>
  <xdr:twoCellAnchor>
    <xdr:from>
      <xdr:col>5</xdr:col>
      <xdr:colOff>876300</xdr:colOff>
      <xdr:row>99</xdr:row>
      <xdr:rowOff>9525</xdr:rowOff>
    </xdr:from>
    <xdr:to>
      <xdr:col>7</xdr:col>
      <xdr:colOff>457200</xdr:colOff>
      <xdr:row>101</xdr:row>
      <xdr:rowOff>19050</xdr:rowOff>
    </xdr:to>
    <xdr:sp macro="" textlink="">
      <xdr:nvSpPr>
        <xdr:cNvPr id="28" name="Rectangle à coins arrondis 2">
          <a:hlinkClick xmlns:r="http://schemas.openxmlformats.org/officeDocument/2006/relationships" r:id="rId12" tooltip="Resources"/>
          <a:extLst>
            <a:ext uri="{FF2B5EF4-FFF2-40B4-BE49-F238E27FC236}">
              <a16:creationId xmlns:a16="http://schemas.microsoft.com/office/drawing/2014/main" id="{00000000-0008-0000-0C00-00001C000000}"/>
            </a:ext>
          </a:extLst>
        </xdr:cNvPr>
        <xdr:cNvSpPr>
          <a:spLocks noChangeArrowheads="1"/>
        </xdr:cNvSpPr>
      </xdr:nvSpPr>
      <xdr:spPr bwMode="auto">
        <a:xfrm>
          <a:off x="6715125" y="22936200"/>
          <a:ext cx="2019300" cy="447675"/>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calculate the A coefficient</a:t>
          </a:r>
        </a:p>
      </xdr:txBody>
    </xdr:sp>
    <xdr:clientData/>
  </xdr:twoCellAnchor>
  <xdr:oneCellAnchor>
    <xdr:from>
      <xdr:col>1</xdr:col>
      <xdr:colOff>38100</xdr:colOff>
      <xdr:row>109</xdr:row>
      <xdr:rowOff>76200</xdr:rowOff>
    </xdr:from>
    <xdr:ext cx="360000" cy="360000"/>
    <xdr:pic>
      <xdr:nvPicPr>
        <xdr:cNvPr id="29" name="Picture 28">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0" y="21783675"/>
          <a:ext cx="360000" cy="360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209550</xdr:colOff>
      <xdr:row>1</xdr:row>
      <xdr:rowOff>114301</xdr:rowOff>
    </xdr:from>
    <xdr:to>
      <xdr:col>2</xdr:col>
      <xdr:colOff>656025</xdr:colOff>
      <xdr:row>3</xdr:row>
      <xdr:rowOff>57301</xdr:rowOff>
    </xdr:to>
    <xdr:sp macro="" textlink="">
      <xdr:nvSpPr>
        <xdr:cNvPr id="5" name="Rectangle à coins arrondis 2">
          <a:hlinkClick xmlns:r="http://schemas.openxmlformats.org/officeDocument/2006/relationships" r:id="rId1" tooltip="Back to Energy"/>
          <a:extLst>
            <a:ext uri="{FF2B5EF4-FFF2-40B4-BE49-F238E27FC236}">
              <a16:creationId xmlns:a16="http://schemas.microsoft.com/office/drawing/2014/main" id="{00000000-0008-0000-0D00-000005000000}"/>
            </a:ext>
          </a:extLst>
        </xdr:cNvPr>
        <xdr:cNvSpPr>
          <a:spLocks noChangeArrowheads="1"/>
        </xdr:cNvSpPr>
      </xdr:nvSpPr>
      <xdr:spPr bwMode="auto">
        <a:xfrm>
          <a:off x="209550" y="457201"/>
          <a:ext cx="198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5</xdr:col>
      <xdr:colOff>971549</xdr:colOff>
      <xdr:row>5</xdr:row>
      <xdr:rowOff>19050</xdr:rowOff>
    </xdr:from>
    <xdr:to>
      <xdr:col>6</xdr:col>
      <xdr:colOff>1205099</xdr:colOff>
      <xdr:row>6</xdr:row>
      <xdr:rowOff>21300</xdr:rowOff>
    </xdr:to>
    <xdr:sp macro="" textlink="">
      <xdr:nvSpPr>
        <xdr:cNvPr id="4" name="Rectangle à coins arrondis 2">
          <a:hlinkClick xmlns:r="http://schemas.openxmlformats.org/officeDocument/2006/relationships" r:id="rId2" tooltip="Prescriptive Path"/>
          <a:extLst>
            <a:ext uri="{FF2B5EF4-FFF2-40B4-BE49-F238E27FC236}">
              <a16:creationId xmlns:a16="http://schemas.microsoft.com/office/drawing/2014/main" id="{00000000-0008-0000-0D00-000004000000}"/>
            </a:ext>
          </a:extLst>
        </xdr:cNvPr>
        <xdr:cNvSpPr>
          <a:spLocks noChangeArrowheads="1"/>
        </xdr:cNvSpPr>
      </xdr:nvSpPr>
      <xdr:spPr bwMode="auto">
        <a:xfrm>
          <a:off x="6448424" y="1200150"/>
          <a:ext cx="1548000" cy="2689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7</xdr:col>
      <xdr:colOff>180973</xdr:colOff>
      <xdr:row>5</xdr:row>
      <xdr:rowOff>19050</xdr:rowOff>
    </xdr:from>
    <xdr:to>
      <xdr:col>8</xdr:col>
      <xdr:colOff>414523</xdr:colOff>
      <xdr:row>6</xdr:row>
      <xdr:rowOff>21300</xdr:rowOff>
    </xdr:to>
    <xdr:sp macro="" textlink="">
      <xdr:nvSpPr>
        <xdr:cNvPr id="7" name="Rectangle à coins arrondis 2">
          <a:hlinkClick xmlns:r="http://schemas.openxmlformats.org/officeDocument/2006/relationships" r:id="rId3" tooltip="Performance Path"/>
          <a:extLst>
            <a:ext uri="{FF2B5EF4-FFF2-40B4-BE49-F238E27FC236}">
              <a16:creationId xmlns:a16="http://schemas.microsoft.com/office/drawing/2014/main" id="{00000000-0008-0000-0D00-000007000000}"/>
            </a:ext>
          </a:extLst>
        </xdr:cNvPr>
        <xdr:cNvSpPr>
          <a:spLocks noChangeArrowheads="1"/>
        </xdr:cNvSpPr>
      </xdr:nvSpPr>
      <xdr:spPr bwMode="auto">
        <a:xfrm>
          <a:off x="8286748" y="1200150"/>
          <a:ext cx="1548000" cy="26895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5</xdr:col>
      <xdr:colOff>447675</xdr:colOff>
      <xdr:row>5</xdr:row>
      <xdr:rowOff>38100</xdr:rowOff>
    </xdr:from>
    <xdr:to>
      <xdr:col>5</xdr:col>
      <xdr:colOff>807675</xdr:colOff>
      <xdr:row>6</xdr:row>
      <xdr:rowOff>30825</xdr:rowOff>
    </xdr:to>
    <xdr:sp macro="" textlink="">
      <xdr:nvSpPr>
        <xdr:cNvPr id="8" name="Flèche droite 7">
          <a:extLst>
            <a:ext uri="{FF2B5EF4-FFF2-40B4-BE49-F238E27FC236}">
              <a16:creationId xmlns:a16="http://schemas.microsoft.com/office/drawing/2014/main" id="{00000000-0008-0000-0D00-000008000000}"/>
            </a:ext>
          </a:extLst>
        </xdr:cNvPr>
        <xdr:cNvSpPr/>
      </xdr:nvSpPr>
      <xdr:spPr>
        <a:xfrm>
          <a:off x="5924550" y="1219200"/>
          <a:ext cx="360000" cy="259425"/>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2</xdr:col>
      <xdr:colOff>1095375</xdr:colOff>
      <xdr:row>1</xdr:row>
      <xdr:rowOff>114300</xdr:rowOff>
    </xdr:from>
    <xdr:to>
      <xdr:col>4</xdr:col>
      <xdr:colOff>446475</xdr:colOff>
      <xdr:row>3</xdr:row>
      <xdr:rowOff>57300</xdr:rowOff>
    </xdr:to>
    <xdr:sp macro="" textlink="">
      <xdr:nvSpPr>
        <xdr:cNvPr id="9" name="Rectangle à coins arrondis 2">
          <a:hlinkClick xmlns:r="http://schemas.openxmlformats.org/officeDocument/2006/relationships" r:id="rId4" tooltip="See the Scorecard"/>
          <a:extLst>
            <a:ext uri="{FF2B5EF4-FFF2-40B4-BE49-F238E27FC236}">
              <a16:creationId xmlns:a16="http://schemas.microsoft.com/office/drawing/2014/main" id="{00000000-0008-0000-0D00-000009000000}"/>
            </a:ext>
          </a:extLst>
        </xdr:cNvPr>
        <xdr:cNvSpPr>
          <a:spLocks noChangeArrowheads="1"/>
        </xdr:cNvSpPr>
      </xdr:nvSpPr>
      <xdr:spPr bwMode="auto">
        <a:xfrm>
          <a:off x="2628900" y="45720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28575</xdr:colOff>
      <xdr:row>38</xdr:row>
      <xdr:rowOff>142875</xdr:rowOff>
    </xdr:from>
    <xdr:ext cx="360000" cy="360000"/>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650" y="10506075"/>
          <a:ext cx="360000" cy="360000"/>
        </a:xfrm>
        <a:prstGeom prst="rect">
          <a:avLst/>
        </a:prstGeom>
      </xdr:spPr>
    </xdr:pic>
    <xdr:clientData/>
  </xdr:oneCellAnchor>
  <xdr:twoCellAnchor editAs="oneCell">
    <xdr:from>
      <xdr:col>1</xdr:col>
      <xdr:colOff>38100</xdr:colOff>
      <xdr:row>34</xdr:row>
      <xdr:rowOff>76200</xdr:rowOff>
    </xdr:from>
    <xdr:to>
      <xdr:col>1</xdr:col>
      <xdr:colOff>542100</xdr:colOff>
      <xdr:row>37</xdr:row>
      <xdr:rowOff>8700</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8848725"/>
          <a:ext cx="504000" cy="504000"/>
        </a:xfrm>
        <a:prstGeom prst="rect">
          <a:avLst/>
        </a:prstGeom>
      </xdr:spPr>
    </xdr:pic>
    <xdr:clientData/>
  </xdr:twoCellAnchor>
  <xdr:oneCellAnchor>
    <xdr:from>
      <xdr:col>1</xdr:col>
      <xdr:colOff>66675</xdr:colOff>
      <xdr:row>67</xdr:row>
      <xdr:rowOff>123825</xdr:rowOff>
    </xdr:from>
    <xdr:ext cx="540000" cy="540000"/>
    <xdr:pic>
      <xdr:nvPicPr>
        <xdr:cNvPr id="12" name="Picture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4325" y="15659100"/>
          <a:ext cx="540000" cy="540000"/>
        </a:xfrm>
        <a:prstGeom prst="rect">
          <a:avLst/>
        </a:prstGeom>
      </xdr:spPr>
    </xdr:pic>
    <xdr:clientData/>
  </xdr:oneCellAnchor>
  <xdr:oneCellAnchor>
    <xdr:from>
      <xdr:col>1</xdr:col>
      <xdr:colOff>28575</xdr:colOff>
      <xdr:row>72</xdr:row>
      <xdr:rowOff>114300</xdr:rowOff>
    </xdr:from>
    <xdr:ext cx="360000" cy="360000"/>
    <xdr:pic>
      <xdr:nvPicPr>
        <xdr:cNvPr id="13" name="Picture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6225" y="16411575"/>
          <a:ext cx="360000" cy="360000"/>
        </a:xfrm>
        <a:prstGeom prst="rect">
          <a:avLst/>
        </a:prstGeom>
      </xdr:spPr>
    </xdr:pic>
    <xdr:clientData/>
  </xdr:oneCellAnchor>
  <xdr:oneCellAnchor>
    <xdr:from>
      <xdr:col>1</xdr:col>
      <xdr:colOff>76200</xdr:colOff>
      <xdr:row>99</xdr:row>
      <xdr:rowOff>85725</xdr:rowOff>
    </xdr:from>
    <xdr:ext cx="432000" cy="432000"/>
    <xdr:pic>
      <xdr:nvPicPr>
        <xdr:cNvPr id="16" name="Picture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3850" y="22888575"/>
          <a:ext cx="432000" cy="432000"/>
        </a:xfrm>
        <a:prstGeom prst="rect">
          <a:avLst/>
        </a:prstGeom>
      </xdr:spPr>
    </xdr:pic>
    <xdr:clientData/>
  </xdr:oneCellAnchor>
  <xdr:oneCellAnchor>
    <xdr:from>
      <xdr:col>1</xdr:col>
      <xdr:colOff>47625</xdr:colOff>
      <xdr:row>106</xdr:row>
      <xdr:rowOff>114300</xdr:rowOff>
    </xdr:from>
    <xdr:ext cx="360000" cy="360000"/>
    <xdr:pic>
      <xdr:nvPicPr>
        <xdr:cNvPr id="17" name="Picture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5275" y="24250650"/>
          <a:ext cx="360000" cy="360000"/>
        </a:xfrm>
        <a:prstGeom prst="rect">
          <a:avLst/>
        </a:prstGeom>
      </xdr:spPr>
    </xdr:pic>
    <xdr:clientData/>
  </xdr:oneCellAnchor>
  <xdr:twoCellAnchor>
    <xdr:from>
      <xdr:col>1</xdr:col>
      <xdr:colOff>0</xdr:colOff>
      <xdr:row>26</xdr:row>
      <xdr:rowOff>180975</xdr:rowOff>
    </xdr:from>
    <xdr:to>
      <xdr:col>2</xdr:col>
      <xdr:colOff>1725</xdr:colOff>
      <xdr:row>28</xdr:row>
      <xdr:rowOff>11775</xdr:rowOff>
    </xdr:to>
    <xdr:sp macro="" textlink="">
      <xdr:nvSpPr>
        <xdr:cNvPr id="14" name="Rectangle à coins arrondis 2">
          <a:hlinkClick xmlns:r="http://schemas.openxmlformats.org/officeDocument/2006/relationships" r:id="rId7" tooltip="Strategy A"/>
          <a:extLst>
            <a:ext uri="{FF2B5EF4-FFF2-40B4-BE49-F238E27FC236}">
              <a16:creationId xmlns:a16="http://schemas.microsoft.com/office/drawing/2014/main" id="{00000000-0008-0000-0D00-00000E000000}"/>
            </a:ext>
          </a:extLst>
        </xdr:cNvPr>
        <xdr:cNvSpPr>
          <a:spLocks noChangeArrowheads="1"/>
        </xdr:cNvSpPr>
      </xdr:nvSpPr>
      <xdr:spPr bwMode="auto">
        <a:xfrm>
          <a:off x="247650" y="8362950"/>
          <a:ext cx="13923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2</xdr:col>
      <xdr:colOff>323849</xdr:colOff>
      <xdr:row>26</xdr:row>
      <xdr:rowOff>190500</xdr:rowOff>
    </xdr:from>
    <xdr:to>
      <xdr:col>3</xdr:col>
      <xdr:colOff>277949</xdr:colOff>
      <xdr:row>28</xdr:row>
      <xdr:rowOff>21300</xdr:rowOff>
    </xdr:to>
    <xdr:sp macro="" textlink="">
      <xdr:nvSpPr>
        <xdr:cNvPr id="15" name="Rectangle à coins arrondis 2">
          <a:hlinkClick xmlns:r="http://schemas.openxmlformats.org/officeDocument/2006/relationships" r:id="rId8" tooltip="Strategy B"/>
          <a:extLst>
            <a:ext uri="{FF2B5EF4-FFF2-40B4-BE49-F238E27FC236}">
              <a16:creationId xmlns:a16="http://schemas.microsoft.com/office/drawing/2014/main" id="{00000000-0008-0000-0D00-00000F000000}"/>
            </a:ext>
          </a:extLst>
        </xdr:cNvPr>
        <xdr:cNvSpPr>
          <a:spLocks noChangeArrowheads="1"/>
        </xdr:cNvSpPr>
      </xdr:nvSpPr>
      <xdr:spPr bwMode="auto">
        <a:xfrm>
          <a:off x="1962149" y="8372475"/>
          <a:ext cx="13542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3</xdr:col>
      <xdr:colOff>600075</xdr:colOff>
      <xdr:row>26</xdr:row>
      <xdr:rowOff>200025</xdr:rowOff>
    </xdr:from>
    <xdr:to>
      <xdr:col>4</xdr:col>
      <xdr:colOff>630375</xdr:colOff>
      <xdr:row>28</xdr:row>
      <xdr:rowOff>30825</xdr:rowOff>
    </xdr:to>
    <xdr:sp macro="" textlink="">
      <xdr:nvSpPr>
        <xdr:cNvPr id="18" name="Rectangle à coins arrondis 2">
          <a:hlinkClick xmlns:r="http://schemas.openxmlformats.org/officeDocument/2006/relationships" r:id="rId9" tooltip="Strategy C"/>
          <a:extLst>
            <a:ext uri="{FF2B5EF4-FFF2-40B4-BE49-F238E27FC236}">
              <a16:creationId xmlns:a16="http://schemas.microsoft.com/office/drawing/2014/main" id="{00000000-0008-0000-0D00-000012000000}"/>
            </a:ext>
          </a:extLst>
        </xdr:cNvPr>
        <xdr:cNvSpPr>
          <a:spLocks noChangeArrowheads="1"/>
        </xdr:cNvSpPr>
      </xdr:nvSpPr>
      <xdr:spPr bwMode="auto">
        <a:xfrm>
          <a:off x="3638550" y="8382000"/>
          <a:ext cx="13923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4</xdr:col>
      <xdr:colOff>952499</xdr:colOff>
      <xdr:row>26</xdr:row>
      <xdr:rowOff>209550</xdr:rowOff>
    </xdr:from>
    <xdr:to>
      <xdr:col>5</xdr:col>
      <xdr:colOff>944699</xdr:colOff>
      <xdr:row>28</xdr:row>
      <xdr:rowOff>40350</xdr:rowOff>
    </xdr:to>
    <xdr:sp macro="" textlink="">
      <xdr:nvSpPr>
        <xdr:cNvPr id="19" name="Rectangle à coins arrondis 2">
          <a:hlinkClick xmlns:r="http://schemas.openxmlformats.org/officeDocument/2006/relationships" r:id="rId10" tooltip="Strategy D"/>
          <a:extLst>
            <a:ext uri="{FF2B5EF4-FFF2-40B4-BE49-F238E27FC236}">
              <a16:creationId xmlns:a16="http://schemas.microsoft.com/office/drawing/2014/main" id="{00000000-0008-0000-0D00-000013000000}"/>
            </a:ext>
          </a:extLst>
        </xdr:cNvPr>
        <xdr:cNvSpPr>
          <a:spLocks noChangeArrowheads="1"/>
        </xdr:cNvSpPr>
      </xdr:nvSpPr>
      <xdr:spPr bwMode="auto">
        <a:xfrm>
          <a:off x="5353049" y="8391525"/>
          <a:ext cx="13542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xdr:from>
      <xdr:col>1</xdr:col>
      <xdr:colOff>0</xdr:colOff>
      <xdr:row>170</xdr:row>
      <xdr:rowOff>180975</xdr:rowOff>
    </xdr:from>
    <xdr:to>
      <xdr:col>2</xdr:col>
      <xdr:colOff>1725</xdr:colOff>
      <xdr:row>172</xdr:row>
      <xdr:rowOff>11775</xdr:rowOff>
    </xdr:to>
    <xdr:sp macro="" textlink="">
      <xdr:nvSpPr>
        <xdr:cNvPr id="20" name="Rectangle à coins arrondis 2">
          <a:hlinkClick xmlns:r="http://schemas.openxmlformats.org/officeDocument/2006/relationships" r:id="rId11" tooltip="Strategy A"/>
          <a:extLst>
            <a:ext uri="{FF2B5EF4-FFF2-40B4-BE49-F238E27FC236}">
              <a16:creationId xmlns:a16="http://schemas.microsoft.com/office/drawing/2014/main" id="{00000000-0008-0000-0D00-000014000000}"/>
            </a:ext>
          </a:extLst>
        </xdr:cNvPr>
        <xdr:cNvSpPr>
          <a:spLocks noChangeArrowheads="1"/>
        </xdr:cNvSpPr>
      </xdr:nvSpPr>
      <xdr:spPr bwMode="auto">
        <a:xfrm>
          <a:off x="247650" y="34671000"/>
          <a:ext cx="13923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2</xdr:col>
      <xdr:colOff>323849</xdr:colOff>
      <xdr:row>170</xdr:row>
      <xdr:rowOff>190500</xdr:rowOff>
    </xdr:from>
    <xdr:to>
      <xdr:col>3</xdr:col>
      <xdr:colOff>277949</xdr:colOff>
      <xdr:row>172</xdr:row>
      <xdr:rowOff>21300</xdr:rowOff>
    </xdr:to>
    <xdr:sp macro="" textlink="">
      <xdr:nvSpPr>
        <xdr:cNvPr id="21" name="Rectangle à coins arrondis 2">
          <a:hlinkClick xmlns:r="http://schemas.openxmlformats.org/officeDocument/2006/relationships" r:id="rId12" tooltip="Strategy B"/>
          <a:extLst>
            <a:ext uri="{FF2B5EF4-FFF2-40B4-BE49-F238E27FC236}">
              <a16:creationId xmlns:a16="http://schemas.microsoft.com/office/drawing/2014/main" id="{00000000-0008-0000-0D00-000015000000}"/>
            </a:ext>
          </a:extLst>
        </xdr:cNvPr>
        <xdr:cNvSpPr>
          <a:spLocks noChangeArrowheads="1"/>
        </xdr:cNvSpPr>
      </xdr:nvSpPr>
      <xdr:spPr bwMode="auto">
        <a:xfrm>
          <a:off x="1962149" y="34680525"/>
          <a:ext cx="13542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3</xdr:col>
      <xdr:colOff>600075</xdr:colOff>
      <xdr:row>170</xdr:row>
      <xdr:rowOff>200025</xdr:rowOff>
    </xdr:from>
    <xdr:to>
      <xdr:col>4</xdr:col>
      <xdr:colOff>630375</xdr:colOff>
      <xdr:row>172</xdr:row>
      <xdr:rowOff>30825</xdr:rowOff>
    </xdr:to>
    <xdr:sp macro="" textlink="">
      <xdr:nvSpPr>
        <xdr:cNvPr id="22" name="Rectangle à coins arrondis 2">
          <a:hlinkClick xmlns:r="http://schemas.openxmlformats.org/officeDocument/2006/relationships" r:id="rId13" tooltip="Strategy C"/>
          <a:extLst>
            <a:ext uri="{FF2B5EF4-FFF2-40B4-BE49-F238E27FC236}">
              <a16:creationId xmlns:a16="http://schemas.microsoft.com/office/drawing/2014/main" id="{00000000-0008-0000-0D00-000016000000}"/>
            </a:ext>
          </a:extLst>
        </xdr:cNvPr>
        <xdr:cNvSpPr>
          <a:spLocks noChangeArrowheads="1"/>
        </xdr:cNvSpPr>
      </xdr:nvSpPr>
      <xdr:spPr bwMode="auto">
        <a:xfrm>
          <a:off x="3638550" y="34690050"/>
          <a:ext cx="13923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oneCellAnchor>
    <xdr:from>
      <xdr:col>1</xdr:col>
      <xdr:colOff>76199</xdr:colOff>
      <xdr:row>103</xdr:row>
      <xdr:rowOff>57150</xdr:rowOff>
    </xdr:from>
    <xdr:ext cx="474667" cy="468000"/>
    <xdr:pic>
      <xdr:nvPicPr>
        <xdr:cNvPr id="23" name="Picture 22">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23849" y="23831550"/>
          <a:ext cx="474667" cy="468000"/>
        </a:xfrm>
        <a:prstGeom prst="rect">
          <a:avLst/>
        </a:prstGeom>
      </xdr:spPr>
    </xdr:pic>
    <xdr:clientData/>
  </xdr:oneCellAnchor>
  <xdr:oneCellAnchor>
    <xdr:from>
      <xdr:col>1</xdr:col>
      <xdr:colOff>28575</xdr:colOff>
      <xdr:row>133</xdr:row>
      <xdr:rowOff>190500</xdr:rowOff>
    </xdr:from>
    <xdr:ext cx="540000" cy="540000"/>
    <xdr:pic>
      <xdr:nvPicPr>
        <xdr:cNvPr id="24" name="Picture 23">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5" y="30289500"/>
          <a:ext cx="540000" cy="540000"/>
        </a:xfrm>
        <a:prstGeom prst="rect">
          <a:avLst/>
        </a:prstGeom>
      </xdr:spPr>
    </xdr:pic>
    <xdr:clientData/>
  </xdr:oneCellAnchor>
  <xdr:twoCellAnchor editAs="oneCell">
    <xdr:from>
      <xdr:col>1</xdr:col>
      <xdr:colOff>47625</xdr:colOff>
      <xdr:row>142</xdr:row>
      <xdr:rowOff>142875</xdr:rowOff>
    </xdr:from>
    <xdr:to>
      <xdr:col>1</xdr:col>
      <xdr:colOff>407625</xdr:colOff>
      <xdr:row>144</xdr:row>
      <xdr:rowOff>83775</xdr:rowOff>
    </xdr:to>
    <xdr:pic>
      <xdr:nvPicPr>
        <xdr:cNvPr id="25" name="Picture 24">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95275" y="32127825"/>
          <a:ext cx="360000" cy="360000"/>
        </a:xfrm>
        <a:prstGeom prst="rect">
          <a:avLst/>
        </a:prstGeom>
      </xdr:spPr>
    </xdr:pic>
    <xdr:clientData/>
  </xdr:twoCellAnchor>
  <xdr:oneCellAnchor>
    <xdr:from>
      <xdr:col>1</xdr:col>
      <xdr:colOff>47625</xdr:colOff>
      <xdr:row>144</xdr:row>
      <xdr:rowOff>142875</xdr:rowOff>
    </xdr:from>
    <xdr:ext cx="360000" cy="360000"/>
    <xdr:pic>
      <xdr:nvPicPr>
        <xdr:cNvPr id="26" name="Picture 25">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5275" y="32546925"/>
          <a:ext cx="360000" cy="360000"/>
        </a:xfrm>
        <a:prstGeom prst="rect">
          <a:avLst/>
        </a:prstGeom>
      </xdr:spPr>
    </xdr:pic>
    <xdr:clientData/>
  </xdr:oneCellAnchor>
  <xdr:oneCellAnchor>
    <xdr:from>
      <xdr:col>1</xdr:col>
      <xdr:colOff>28575</xdr:colOff>
      <xdr:row>177</xdr:row>
      <xdr:rowOff>0</xdr:rowOff>
    </xdr:from>
    <xdr:ext cx="396000" cy="396000"/>
    <xdr:pic>
      <xdr:nvPicPr>
        <xdr:cNvPr id="27" name="Picture 26">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7650" y="39862125"/>
          <a:ext cx="396000" cy="396000"/>
        </a:xfrm>
        <a:prstGeom prst="rect">
          <a:avLst/>
        </a:prstGeom>
      </xdr:spPr>
    </xdr:pic>
    <xdr:clientData/>
  </xdr:oneCellAnchor>
  <xdr:oneCellAnchor>
    <xdr:from>
      <xdr:col>1</xdr:col>
      <xdr:colOff>38100</xdr:colOff>
      <xdr:row>182</xdr:row>
      <xdr:rowOff>19050</xdr:rowOff>
    </xdr:from>
    <xdr:ext cx="360000" cy="360000"/>
    <xdr:pic>
      <xdr:nvPicPr>
        <xdr:cNvPr id="28" name="Picture 27">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7175" y="40833675"/>
          <a:ext cx="360000" cy="360000"/>
        </a:xfrm>
        <a:prstGeom prst="rect">
          <a:avLst/>
        </a:prstGeom>
      </xdr:spPr>
    </xdr:pic>
    <xdr:clientData/>
  </xdr:oneCellAnchor>
  <xdr:oneCellAnchor>
    <xdr:from>
      <xdr:col>1</xdr:col>
      <xdr:colOff>28576</xdr:colOff>
      <xdr:row>179</xdr:row>
      <xdr:rowOff>85725</xdr:rowOff>
    </xdr:from>
    <xdr:ext cx="401641" cy="396000"/>
    <xdr:pic>
      <xdr:nvPicPr>
        <xdr:cNvPr id="29" name="Picture 28">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47651" y="40347900"/>
          <a:ext cx="401641" cy="396000"/>
        </a:xfrm>
        <a:prstGeom prst="rect">
          <a:avLst/>
        </a:prstGeom>
      </xdr:spPr>
    </xdr:pic>
    <xdr:clientData/>
  </xdr:oneCellAnchor>
  <xdr:oneCellAnchor>
    <xdr:from>
      <xdr:col>1</xdr:col>
      <xdr:colOff>28575</xdr:colOff>
      <xdr:row>211</xdr:row>
      <xdr:rowOff>104775</xdr:rowOff>
    </xdr:from>
    <xdr:ext cx="396000" cy="396000"/>
    <xdr:pic>
      <xdr:nvPicPr>
        <xdr:cNvPr id="30" name="Picture 29">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7650" y="46996350"/>
          <a:ext cx="396000" cy="396000"/>
        </a:xfrm>
        <a:prstGeom prst="rect">
          <a:avLst/>
        </a:prstGeom>
      </xdr:spPr>
    </xdr:pic>
    <xdr:clientData/>
  </xdr:oneCellAnchor>
  <xdr:oneCellAnchor>
    <xdr:from>
      <xdr:col>1</xdr:col>
      <xdr:colOff>76200</xdr:colOff>
      <xdr:row>230</xdr:row>
      <xdr:rowOff>104775</xdr:rowOff>
    </xdr:from>
    <xdr:ext cx="360000" cy="360000"/>
    <xdr:pic>
      <xdr:nvPicPr>
        <xdr:cNvPr id="32" name="Picture 3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5275" y="50330100"/>
          <a:ext cx="360000" cy="360000"/>
        </a:xfrm>
        <a:prstGeom prst="rect">
          <a:avLst/>
        </a:prstGeom>
      </xdr:spPr>
    </xdr:pic>
    <xdr:clientData/>
  </xdr:oneCellAnchor>
  <xdr:oneCellAnchor>
    <xdr:from>
      <xdr:col>1</xdr:col>
      <xdr:colOff>28575</xdr:colOff>
      <xdr:row>265</xdr:row>
      <xdr:rowOff>190500</xdr:rowOff>
    </xdr:from>
    <xdr:ext cx="540000" cy="540000"/>
    <xdr:pic>
      <xdr:nvPicPr>
        <xdr:cNvPr id="33" name="Picture 32">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7650" y="58759725"/>
          <a:ext cx="540000" cy="540000"/>
        </a:xfrm>
        <a:prstGeom prst="rect">
          <a:avLst/>
        </a:prstGeom>
      </xdr:spPr>
    </xdr:pic>
    <xdr:clientData/>
  </xdr:oneCellAnchor>
  <xdr:oneCellAnchor>
    <xdr:from>
      <xdr:col>1</xdr:col>
      <xdr:colOff>47625</xdr:colOff>
      <xdr:row>274</xdr:row>
      <xdr:rowOff>142875</xdr:rowOff>
    </xdr:from>
    <xdr:ext cx="360000" cy="360000"/>
    <xdr:pic>
      <xdr:nvPicPr>
        <xdr:cNvPr id="34" name="Picture 33">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66700" y="32432625"/>
          <a:ext cx="360000" cy="360000"/>
        </a:xfrm>
        <a:prstGeom prst="rect">
          <a:avLst/>
        </a:prstGeom>
      </xdr:spPr>
    </xdr:pic>
    <xdr:clientData/>
  </xdr:oneCellAnchor>
  <xdr:oneCellAnchor>
    <xdr:from>
      <xdr:col>1</xdr:col>
      <xdr:colOff>47625</xdr:colOff>
      <xdr:row>276</xdr:row>
      <xdr:rowOff>142875</xdr:rowOff>
    </xdr:from>
    <xdr:ext cx="360000" cy="360000"/>
    <xdr:pic>
      <xdr:nvPicPr>
        <xdr:cNvPr id="35" name="Picture 34">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6700" y="32851725"/>
          <a:ext cx="360000" cy="360000"/>
        </a:xfrm>
        <a:prstGeom prst="rect">
          <a:avLst/>
        </a:prstGeom>
      </xdr:spPr>
    </xdr:pic>
    <xdr:clientData/>
  </xdr:oneCellAnchor>
  <xdr:twoCellAnchor>
    <xdr:from>
      <xdr:col>9</xdr:col>
      <xdr:colOff>85726</xdr:colOff>
      <xdr:row>235</xdr:row>
      <xdr:rowOff>0</xdr:rowOff>
    </xdr:from>
    <xdr:to>
      <xdr:col>12</xdr:col>
      <xdr:colOff>295276</xdr:colOff>
      <xdr:row>237</xdr:row>
      <xdr:rowOff>114300</xdr:rowOff>
    </xdr:to>
    <xdr:sp macro="" textlink="">
      <xdr:nvSpPr>
        <xdr:cNvPr id="36" name="Rectangle à coins arrondis 2">
          <a:hlinkClick xmlns:r="http://schemas.openxmlformats.org/officeDocument/2006/relationships" r:id="rId16" tooltip="Resources"/>
          <a:extLst>
            <a:ext uri="{FF2B5EF4-FFF2-40B4-BE49-F238E27FC236}">
              <a16:creationId xmlns:a16="http://schemas.microsoft.com/office/drawing/2014/main" id="{00000000-0008-0000-0D00-000024000000}"/>
            </a:ext>
          </a:extLst>
        </xdr:cNvPr>
        <xdr:cNvSpPr>
          <a:spLocks noChangeArrowheads="1"/>
        </xdr:cNvSpPr>
      </xdr:nvSpPr>
      <xdr:spPr bwMode="auto">
        <a:xfrm>
          <a:off x="10801351" y="52768500"/>
          <a:ext cx="2019300" cy="51435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calculate the A coefficient</a:t>
          </a:r>
        </a:p>
      </xdr:txBody>
    </xdr:sp>
    <xdr:clientData/>
  </xdr:twoCellAnchor>
  <xdr:twoCellAnchor>
    <xdr:from>
      <xdr:col>8</xdr:col>
      <xdr:colOff>561975</xdr:colOff>
      <xdr:row>1</xdr:row>
      <xdr:rowOff>104775</xdr:rowOff>
    </xdr:from>
    <xdr:to>
      <xdr:col>8</xdr:col>
      <xdr:colOff>1009650</xdr:colOff>
      <xdr:row>3</xdr:row>
      <xdr:rowOff>76200</xdr:rowOff>
    </xdr:to>
    <xdr:sp macro="" textlink="">
      <xdr:nvSpPr>
        <xdr:cNvPr id="37" name="Up Arrow 36">
          <a:hlinkClick xmlns:r="http://schemas.openxmlformats.org/officeDocument/2006/relationships" r:id="rId17" tooltip="Back to top"/>
          <a:extLst>
            <a:ext uri="{FF2B5EF4-FFF2-40B4-BE49-F238E27FC236}">
              <a16:creationId xmlns:a16="http://schemas.microsoft.com/office/drawing/2014/main" id="{00000000-0008-0000-0D00-000025000000}"/>
            </a:ext>
          </a:extLst>
        </xdr:cNvPr>
        <xdr:cNvSpPr/>
      </xdr:nvSpPr>
      <xdr:spPr>
        <a:xfrm>
          <a:off x="9982200" y="44767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47624</xdr:colOff>
      <xdr:row>214</xdr:row>
      <xdr:rowOff>142875</xdr:rowOff>
    </xdr:from>
    <xdr:ext cx="438154" cy="432000"/>
    <xdr:pic>
      <xdr:nvPicPr>
        <xdr:cNvPr id="38" name="Picture 37">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6699" y="47948850"/>
          <a:ext cx="438154" cy="432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5</xdr:col>
      <xdr:colOff>514349</xdr:colOff>
      <xdr:row>1</xdr:row>
      <xdr:rowOff>133350</xdr:rowOff>
    </xdr:from>
    <xdr:to>
      <xdr:col>6</xdr:col>
      <xdr:colOff>868499</xdr:colOff>
      <xdr:row>3</xdr:row>
      <xdr:rowOff>40350</xdr:rowOff>
    </xdr:to>
    <xdr:sp macro="" textlink="">
      <xdr:nvSpPr>
        <xdr:cNvPr id="5" name="Rectangle à coins arrondis 2">
          <a:hlinkClick xmlns:r="http://schemas.openxmlformats.org/officeDocument/2006/relationships" r:id="rId1" tooltip="Strategy A"/>
          <a:extLst>
            <a:ext uri="{FF2B5EF4-FFF2-40B4-BE49-F238E27FC236}">
              <a16:creationId xmlns:a16="http://schemas.microsoft.com/office/drawing/2014/main" id="{00000000-0008-0000-0E00-000005000000}"/>
            </a:ext>
          </a:extLst>
        </xdr:cNvPr>
        <xdr:cNvSpPr>
          <a:spLocks noChangeArrowheads="1"/>
        </xdr:cNvSpPr>
      </xdr:nvSpPr>
      <xdr:spPr bwMode="auto">
        <a:xfrm>
          <a:off x="5591174" y="457200"/>
          <a:ext cx="144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6</xdr:col>
      <xdr:colOff>1200148</xdr:colOff>
      <xdr:row>1</xdr:row>
      <xdr:rowOff>142875</xdr:rowOff>
    </xdr:from>
    <xdr:to>
      <xdr:col>8</xdr:col>
      <xdr:colOff>296998</xdr:colOff>
      <xdr:row>3</xdr:row>
      <xdr:rowOff>49875</xdr:rowOff>
    </xdr:to>
    <xdr:sp macro="" textlink="">
      <xdr:nvSpPr>
        <xdr:cNvPr id="6" name="Rectangle à coins arrondis 2">
          <a:hlinkClick xmlns:r="http://schemas.openxmlformats.org/officeDocument/2006/relationships" r:id="rId2" tooltip="Strategy B"/>
          <a:extLst>
            <a:ext uri="{FF2B5EF4-FFF2-40B4-BE49-F238E27FC236}">
              <a16:creationId xmlns:a16="http://schemas.microsoft.com/office/drawing/2014/main" id="{00000000-0008-0000-0E00-000006000000}"/>
            </a:ext>
          </a:extLst>
        </xdr:cNvPr>
        <xdr:cNvSpPr>
          <a:spLocks noChangeArrowheads="1"/>
        </xdr:cNvSpPr>
      </xdr:nvSpPr>
      <xdr:spPr bwMode="auto">
        <a:xfrm>
          <a:off x="7362823" y="466725"/>
          <a:ext cx="144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0</xdr:col>
      <xdr:colOff>209550</xdr:colOff>
      <xdr:row>1</xdr:row>
      <xdr:rowOff>114301</xdr:rowOff>
    </xdr:from>
    <xdr:to>
      <xdr:col>2</xdr:col>
      <xdr:colOff>732225</xdr:colOff>
      <xdr:row>3</xdr:row>
      <xdr:rowOff>57301</xdr:rowOff>
    </xdr:to>
    <xdr:sp macro="" textlink="">
      <xdr:nvSpPr>
        <xdr:cNvPr id="8" name="Rectangle à coins arrondis 2">
          <a:hlinkClick xmlns:r="http://schemas.openxmlformats.org/officeDocument/2006/relationships" r:id="rId3" tooltip="Back to Energy"/>
          <a:extLst>
            <a:ext uri="{FF2B5EF4-FFF2-40B4-BE49-F238E27FC236}">
              <a16:creationId xmlns:a16="http://schemas.microsoft.com/office/drawing/2014/main" id="{00000000-0008-0000-0E00-000008000000}"/>
            </a:ext>
          </a:extLst>
        </xdr:cNvPr>
        <xdr:cNvSpPr>
          <a:spLocks noChangeArrowheads="1"/>
        </xdr:cNvSpPr>
      </xdr:nvSpPr>
      <xdr:spPr bwMode="auto">
        <a:xfrm>
          <a:off x="209550" y="438151"/>
          <a:ext cx="198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1104900</xdr:colOff>
      <xdr:row>1</xdr:row>
      <xdr:rowOff>114300</xdr:rowOff>
    </xdr:from>
    <xdr:to>
      <xdr:col>4</xdr:col>
      <xdr:colOff>608400</xdr:colOff>
      <xdr:row>3</xdr:row>
      <xdr:rowOff>57300</xdr:rowOff>
    </xdr:to>
    <xdr:sp macro="" textlink="">
      <xdr:nvSpPr>
        <xdr:cNvPr id="9" name="Rectangle à coins arrondis 2">
          <a:hlinkClick xmlns:r="http://schemas.openxmlformats.org/officeDocument/2006/relationships" r:id="rId4" tooltip="See the Scorecard"/>
          <a:extLst>
            <a:ext uri="{FF2B5EF4-FFF2-40B4-BE49-F238E27FC236}">
              <a16:creationId xmlns:a16="http://schemas.microsoft.com/office/drawing/2014/main" id="{00000000-0008-0000-0E00-000009000000}"/>
            </a:ext>
          </a:extLst>
        </xdr:cNvPr>
        <xdr:cNvSpPr>
          <a:spLocks noChangeArrowheads="1"/>
        </xdr:cNvSpPr>
      </xdr:nvSpPr>
      <xdr:spPr bwMode="auto">
        <a:xfrm>
          <a:off x="2562225" y="43815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1047750</xdr:colOff>
      <xdr:row>33</xdr:row>
      <xdr:rowOff>152400</xdr:rowOff>
    </xdr:from>
    <xdr:to>
      <xdr:col>6</xdr:col>
      <xdr:colOff>572250</xdr:colOff>
      <xdr:row>35</xdr:row>
      <xdr:rowOff>59400</xdr:rowOff>
    </xdr:to>
    <xdr:sp macro="" textlink="">
      <xdr:nvSpPr>
        <xdr:cNvPr id="28" name="Rectangle à coins arrondis 2">
          <a:hlinkClick xmlns:r="http://schemas.openxmlformats.org/officeDocument/2006/relationships" r:id="rId5" tooltip="Prescriptive Path"/>
          <a:extLst>
            <a:ext uri="{FF2B5EF4-FFF2-40B4-BE49-F238E27FC236}">
              <a16:creationId xmlns:a16="http://schemas.microsoft.com/office/drawing/2014/main" id="{00000000-0008-0000-0E00-00001C000000}"/>
            </a:ext>
          </a:extLst>
        </xdr:cNvPr>
        <xdr:cNvSpPr>
          <a:spLocks noChangeArrowheads="1"/>
        </xdr:cNvSpPr>
      </xdr:nvSpPr>
      <xdr:spPr bwMode="auto">
        <a:xfrm>
          <a:off x="4962525" y="6858000"/>
          <a:ext cx="1620000" cy="28800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6</xdr:col>
      <xdr:colOff>904874</xdr:colOff>
      <xdr:row>33</xdr:row>
      <xdr:rowOff>152400</xdr:rowOff>
    </xdr:from>
    <xdr:to>
      <xdr:col>8</xdr:col>
      <xdr:colOff>181724</xdr:colOff>
      <xdr:row>35</xdr:row>
      <xdr:rowOff>59400</xdr:rowOff>
    </xdr:to>
    <xdr:sp macro="" textlink="">
      <xdr:nvSpPr>
        <xdr:cNvPr id="29" name="Rectangle à coins arrondis 2">
          <a:hlinkClick xmlns:r="http://schemas.openxmlformats.org/officeDocument/2006/relationships" r:id="rId6" tooltip="Performance Path"/>
          <a:extLst>
            <a:ext uri="{FF2B5EF4-FFF2-40B4-BE49-F238E27FC236}">
              <a16:creationId xmlns:a16="http://schemas.microsoft.com/office/drawing/2014/main" id="{00000000-0008-0000-0E00-00001D000000}"/>
            </a:ext>
          </a:extLst>
        </xdr:cNvPr>
        <xdr:cNvSpPr>
          <a:spLocks noChangeArrowheads="1"/>
        </xdr:cNvSpPr>
      </xdr:nvSpPr>
      <xdr:spPr bwMode="auto">
        <a:xfrm>
          <a:off x="6915149" y="6858000"/>
          <a:ext cx="1620000" cy="28800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4</xdr:col>
      <xdr:colOff>495300</xdr:colOff>
      <xdr:row>33</xdr:row>
      <xdr:rowOff>152400</xdr:rowOff>
    </xdr:from>
    <xdr:to>
      <xdr:col>4</xdr:col>
      <xdr:colOff>819300</xdr:colOff>
      <xdr:row>35</xdr:row>
      <xdr:rowOff>59400</xdr:rowOff>
    </xdr:to>
    <xdr:sp macro="" textlink="">
      <xdr:nvSpPr>
        <xdr:cNvPr id="30" name="Flèche droite 7">
          <a:extLst>
            <a:ext uri="{FF2B5EF4-FFF2-40B4-BE49-F238E27FC236}">
              <a16:creationId xmlns:a16="http://schemas.microsoft.com/office/drawing/2014/main" id="{00000000-0008-0000-0E00-00001E000000}"/>
            </a:ext>
          </a:extLst>
        </xdr:cNvPr>
        <xdr:cNvSpPr/>
      </xdr:nvSpPr>
      <xdr:spPr>
        <a:xfrm>
          <a:off x="4410075" y="6858000"/>
          <a:ext cx="324000" cy="288000"/>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10</xdr:col>
      <xdr:colOff>57900</xdr:colOff>
      <xdr:row>82</xdr:row>
      <xdr:rowOff>152402</xdr:rowOff>
    </xdr:from>
    <xdr:to>
      <xdr:col>13</xdr:col>
      <xdr:colOff>657225</xdr:colOff>
      <xdr:row>110</xdr:row>
      <xdr:rowOff>51396</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478250" y="25707977"/>
          <a:ext cx="2952000" cy="5490169"/>
        </a:xfrm>
        <a:prstGeom prst="rect">
          <a:avLst/>
        </a:prstGeom>
      </xdr:spPr>
    </xdr:pic>
    <xdr:clientData/>
  </xdr:twoCellAnchor>
  <xdr:twoCellAnchor>
    <xdr:from>
      <xdr:col>4</xdr:col>
      <xdr:colOff>847725</xdr:colOff>
      <xdr:row>125</xdr:row>
      <xdr:rowOff>152400</xdr:rowOff>
    </xdr:from>
    <xdr:to>
      <xdr:col>6</xdr:col>
      <xdr:colOff>372225</xdr:colOff>
      <xdr:row>127</xdr:row>
      <xdr:rowOff>21300</xdr:rowOff>
    </xdr:to>
    <xdr:sp macro="" textlink="">
      <xdr:nvSpPr>
        <xdr:cNvPr id="34" name="Rectangle à coins arrondis 2">
          <a:hlinkClick xmlns:r="http://schemas.openxmlformats.org/officeDocument/2006/relationships" r:id="rId8" tooltip="Prescriptive Path"/>
          <a:extLst>
            <a:ext uri="{FF2B5EF4-FFF2-40B4-BE49-F238E27FC236}">
              <a16:creationId xmlns:a16="http://schemas.microsoft.com/office/drawing/2014/main" id="{00000000-0008-0000-0E00-000022000000}"/>
            </a:ext>
          </a:extLst>
        </xdr:cNvPr>
        <xdr:cNvSpPr>
          <a:spLocks noChangeArrowheads="1"/>
        </xdr:cNvSpPr>
      </xdr:nvSpPr>
      <xdr:spPr bwMode="auto">
        <a:xfrm>
          <a:off x="4762500" y="34585275"/>
          <a:ext cx="1620000" cy="28800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6</xdr:col>
      <xdr:colOff>704849</xdr:colOff>
      <xdr:row>125</xdr:row>
      <xdr:rowOff>152400</xdr:rowOff>
    </xdr:from>
    <xdr:to>
      <xdr:col>7</xdr:col>
      <xdr:colOff>1105649</xdr:colOff>
      <xdr:row>127</xdr:row>
      <xdr:rowOff>21300</xdr:rowOff>
    </xdr:to>
    <xdr:sp macro="" textlink="">
      <xdr:nvSpPr>
        <xdr:cNvPr id="35" name="Rectangle à coins arrondis 2">
          <a:hlinkClick xmlns:r="http://schemas.openxmlformats.org/officeDocument/2006/relationships" r:id="rId9" tooltip="Performance Path"/>
          <a:extLst>
            <a:ext uri="{FF2B5EF4-FFF2-40B4-BE49-F238E27FC236}">
              <a16:creationId xmlns:a16="http://schemas.microsoft.com/office/drawing/2014/main" id="{00000000-0008-0000-0E00-000023000000}"/>
            </a:ext>
          </a:extLst>
        </xdr:cNvPr>
        <xdr:cNvSpPr>
          <a:spLocks noChangeArrowheads="1"/>
        </xdr:cNvSpPr>
      </xdr:nvSpPr>
      <xdr:spPr bwMode="auto">
        <a:xfrm>
          <a:off x="6715124" y="34585275"/>
          <a:ext cx="1620000" cy="28800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4</xdr:col>
      <xdr:colOff>295275</xdr:colOff>
      <xdr:row>125</xdr:row>
      <xdr:rowOff>171450</xdr:rowOff>
    </xdr:from>
    <xdr:to>
      <xdr:col>4</xdr:col>
      <xdr:colOff>619275</xdr:colOff>
      <xdr:row>127</xdr:row>
      <xdr:rowOff>40350</xdr:rowOff>
    </xdr:to>
    <xdr:sp macro="" textlink="">
      <xdr:nvSpPr>
        <xdr:cNvPr id="36" name="Flèche droite 7">
          <a:extLst>
            <a:ext uri="{FF2B5EF4-FFF2-40B4-BE49-F238E27FC236}">
              <a16:creationId xmlns:a16="http://schemas.microsoft.com/office/drawing/2014/main" id="{00000000-0008-0000-0E00-000024000000}"/>
            </a:ext>
          </a:extLst>
        </xdr:cNvPr>
        <xdr:cNvSpPr/>
      </xdr:nvSpPr>
      <xdr:spPr>
        <a:xfrm>
          <a:off x="4210050" y="34604325"/>
          <a:ext cx="324000" cy="288000"/>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1</xdr:col>
      <xdr:colOff>28575</xdr:colOff>
      <xdr:row>39</xdr:row>
      <xdr:rowOff>104775</xdr:rowOff>
    </xdr:from>
    <xdr:to>
      <xdr:col>1</xdr:col>
      <xdr:colOff>388575</xdr:colOff>
      <xdr:row>41</xdr:row>
      <xdr:rowOff>83775</xdr:rowOff>
    </xdr:to>
    <xdr:pic>
      <xdr:nvPicPr>
        <xdr:cNvPr id="48" name="Picture 47">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57175" y="9115425"/>
          <a:ext cx="360000" cy="360000"/>
        </a:xfrm>
        <a:prstGeom prst="rect">
          <a:avLst/>
        </a:prstGeom>
      </xdr:spPr>
    </xdr:pic>
    <xdr:clientData/>
  </xdr:twoCellAnchor>
  <xdr:oneCellAnchor>
    <xdr:from>
      <xdr:col>1</xdr:col>
      <xdr:colOff>47625</xdr:colOff>
      <xdr:row>87</xdr:row>
      <xdr:rowOff>85725</xdr:rowOff>
    </xdr:from>
    <xdr:ext cx="504000" cy="504000"/>
    <xdr:pic>
      <xdr:nvPicPr>
        <xdr:cNvPr id="55" name="Picture 54">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76225" y="18707100"/>
          <a:ext cx="504000" cy="504000"/>
        </a:xfrm>
        <a:prstGeom prst="rect">
          <a:avLst/>
        </a:prstGeom>
      </xdr:spPr>
    </xdr:pic>
    <xdr:clientData/>
  </xdr:oneCellAnchor>
  <xdr:oneCellAnchor>
    <xdr:from>
      <xdr:col>1</xdr:col>
      <xdr:colOff>28575</xdr:colOff>
      <xdr:row>82</xdr:row>
      <xdr:rowOff>114300</xdr:rowOff>
    </xdr:from>
    <xdr:ext cx="360000" cy="360000"/>
    <xdr:pic>
      <xdr:nvPicPr>
        <xdr:cNvPr id="56" name="Picture 55">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76225" y="24984075"/>
          <a:ext cx="360000" cy="360000"/>
        </a:xfrm>
        <a:prstGeom prst="rect">
          <a:avLst/>
        </a:prstGeom>
      </xdr:spPr>
    </xdr:pic>
    <xdr:clientData/>
  </xdr:oneCellAnchor>
  <xdr:oneCellAnchor>
    <xdr:from>
      <xdr:col>1</xdr:col>
      <xdr:colOff>47625</xdr:colOff>
      <xdr:row>132</xdr:row>
      <xdr:rowOff>190500</xdr:rowOff>
    </xdr:from>
    <xdr:ext cx="504000" cy="504000"/>
    <xdr:pic>
      <xdr:nvPicPr>
        <xdr:cNvPr id="58" name="Picture 57">
          <a:extLst>
            <a:ext uri="{FF2B5EF4-FFF2-40B4-BE49-F238E27FC236}">
              <a16:creationId xmlns:a16="http://schemas.microsoft.com/office/drawing/2014/main" id="{00000000-0008-0000-0E00-00003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76225" y="29117925"/>
          <a:ext cx="504000" cy="504000"/>
        </a:xfrm>
        <a:prstGeom prst="rect">
          <a:avLst/>
        </a:prstGeom>
      </xdr:spPr>
    </xdr:pic>
    <xdr:clientData/>
  </xdr:oneCellAnchor>
  <xdr:oneCellAnchor>
    <xdr:from>
      <xdr:col>1</xdr:col>
      <xdr:colOff>95250</xdr:colOff>
      <xdr:row>175</xdr:row>
      <xdr:rowOff>228600</xdr:rowOff>
    </xdr:from>
    <xdr:ext cx="468000" cy="468000"/>
    <xdr:pic>
      <xdr:nvPicPr>
        <xdr:cNvPr id="59" name="Picture 58">
          <a:extLst>
            <a:ext uri="{FF2B5EF4-FFF2-40B4-BE49-F238E27FC236}">
              <a16:creationId xmlns:a16="http://schemas.microsoft.com/office/drawing/2014/main" id="{00000000-0008-0000-0E00-00003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23850" y="38928675"/>
          <a:ext cx="468000" cy="468000"/>
        </a:xfrm>
        <a:prstGeom prst="rect">
          <a:avLst/>
        </a:prstGeom>
      </xdr:spPr>
    </xdr:pic>
    <xdr:clientData/>
  </xdr:oneCellAnchor>
  <xdr:twoCellAnchor editAs="oneCell">
    <xdr:from>
      <xdr:col>1</xdr:col>
      <xdr:colOff>0</xdr:colOff>
      <xdr:row>9</xdr:row>
      <xdr:rowOff>85725</xdr:rowOff>
    </xdr:from>
    <xdr:to>
      <xdr:col>1</xdr:col>
      <xdr:colOff>396000</xdr:colOff>
      <xdr:row>11</xdr:row>
      <xdr:rowOff>100725</xdr:rowOff>
    </xdr:to>
    <xdr:pic>
      <xdr:nvPicPr>
        <xdr:cNvPr id="60" name="Picture 59">
          <a:extLst>
            <a:ext uri="{FF2B5EF4-FFF2-40B4-BE49-F238E27FC236}">
              <a16:creationId xmlns:a16="http://schemas.microsoft.com/office/drawing/2014/main" id="{00000000-0008-0000-0E00-00003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2295525"/>
          <a:ext cx="396000" cy="396000"/>
        </a:xfrm>
        <a:prstGeom prst="rect">
          <a:avLst/>
        </a:prstGeom>
      </xdr:spPr>
    </xdr:pic>
    <xdr:clientData/>
  </xdr:twoCellAnchor>
  <xdr:oneCellAnchor>
    <xdr:from>
      <xdr:col>1</xdr:col>
      <xdr:colOff>38100</xdr:colOff>
      <xdr:row>96</xdr:row>
      <xdr:rowOff>95250</xdr:rowOff>
    </xdr:from>
    <xdr:ext cx="360000" cy="360000"/>
    <xdr:pic>
      <xdr:nvPicPr>
        <xdr:cNvPr id="61" name="Picture 60">
          <a:extLst>
            <a:ext uri="{FF2B5EF4-FFF2-40B4-BE49-F238E27FC236}">
              <a16:creationId xmlns:a16="http://schemas.microsoft.com/office/drawing/2014/main" id="{00000000-0008-0000-0E00-00003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5750" y="28298775"/>
          <a:ext cx="360000" cy="360000"/>
        </a:xfrm>
        <a:prstGeom prst="rect">
          <a:avLst/>
        </a:prstGeom>
      </xdr:spPr>
    </xdr:pic>
    <xdr:clientData/>
  </xdr:oneCellAnchor>
  <xdr:oneCellAnchor>
    <xdr:from>
      <xdr:col>1</xdr:col>
      <xdr:colOff>38100</xdr:colOff>
      <xdr:row>137</xdr:row>
      <xdr:rowOff>95250</xdr:rowOff>
    </xdr:from>
    <xdr:ext cx="360000" cy="360000"/>
    <xdr:pic>
      <xdr:nvPicPr>
        <xdr:cNvPr id="62" name="Picture 61">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5750" y="28298775"/>
          <a:ext cx="360000" cy="360000"/>
        </a:xfrm>
        <a:prstGeom prst="rect">
          <a:avLst/>
        </a:prstGeom>
      </xdr:spPr>
    </xdr:pic>
    <xdr:clientData/>
  </xdr:oneCellAnchor>
  <xdr:oneCellAnchor>
    <xdr:from>
      <xdr:col>1</xdr:col>
      <xdr:colOff>38100</xdr:colOff>
      <xdr:row>199</xdr:row>
      <xdr:rowOff>95250</xdr:rowOff>
    </xdr:from>
    <xdr:ext cx="360000" cy="360000"/>
    <xdr:pic>
      <xdr:nvPicPr>
        <xdr:cNvPr id="63" name="Picture 62">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5750" y="36957000"/>
          <a:ext cx="360000" cy="360000"/>
        </a:xfrm>
        <a:prstGeom prst="rect">
          <a:avLst/>
        </a:prstGeom>
      </xdr:spPr>
    </xdr:pic>
    <xdr:clientData/>
  </xdr:oneCellAnchor>
  <xdr:twoCellAnchor>
    <xdr:from>
      <xdr:col>9</xdr:col>
      <xdr:colOff>619125</xdr:colOff>
      <xdr:row>1</xdr:row>
      <xdr:rowOff>104775</xdr:rowOff>
    </xdr:from>
    <xdr:to>
      <xdr:col>10</xdr:col>
      <xdr:colOff>95250</xdr:colOff>
      <xdr:row>3</xdr:row>
      <xdr:rowOff>76200</xdr:rowOff>
    </xdr:to>
    <xdr:sp macro="" textlink="">
      <xdr:nvSpPr>
        <xdr:cNvPr id="64" name="Up Arrow 63">
          <a:hlinkClick xmlns:r="http://schemas.openxmlformats.org/officeDocument/2006/relationships" r:id="rId13" tooltip="Back to top"/>
          <a:extLst>
            <a:ext uri="{FF2B5EF4-FFF2-40B4-BE49-F238E27FC236}">
              <a16:creationId xmlns:a16="http://schemas.microsoft.com/office/drawing/2014/main" id="{00000000-0008-0000-0E00-000040000000}"/>
            </a:ext>
          </a:extLst>
        </xdr:cNvPr>
        <xdr:cNvSpPr/>
      </xdr:nvSpPr>
      <xdr:spPr>
        <a:xfrm>
          <a:off x="10067925" y="42862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142875</xdr:colOff>
      <xdr:row>180</xdr:row>
      <xdr:rowOff>19050</xdr:rowOff>
    </xdr:from>
    <xdr:to>
      <xdr:col>5</xdr:col>
      <xdr:colOff>1028700</xdr:colOff>
      <xdr:row>196</xdr:row>
      <xdr:rowOff>47625</xdr:rowOff>
    </xdr:to>
    <xdr:pic>
      <xdr:nvPicPr>
        <xdr:cNvPr id="26" name="Picture 25">
          <a:extLst>
            <a:ext uri="{FF2B5EF4-FFF2-40B4-BE49-F238E27FC236}">
              <a16:creationId xmlns:a16="http://schemas.microsoft.com/office/drawing/2014/main" id="{00000000-0008-0000-0E00-00001A000000}"/>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28" r="-28" b="19248"/>
        <a:stretch/>
      </xdr:blipFill>
      <xdr:spPr bwMode="auto">
        <a:xfrm>
          <a:off x="371475" y="39233475"/>
          <a:ext cx="5734050" cy="347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19050</xdr:colOff>
      <xdr:row>46</xdr:row>
      <xdr:rowOff>161925</xdr:rowOff>
    </xdr:from>
    <xdr:ext cx="360000" cy="360000"/>
    <xdr:pic>
      <xdr:nvPicPr>
        <xdr:cNvPr id="27" name="Picture 26">
          <a:extLst>
            <a:ext uri="{FF2B5EF4-FFF2-40B4-BE49-F238E27FC236}">
              <a16:creationId xmlns:a16="http://schemas.microsoft.com/office/drawing/2014/main" id="{00000000-0008-0000-0E00-00001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6700" y="11296650"/>
          <a:ext cx="360000" cy="360000"/>
        </a:xfrm>
        <a:prstGeom prst="rect">
          <a:avLst/>
        </a:prstGeom>
      </xdr:spPr>
    </xdr:pic>
    <xdr:clientData/>
  </xdr:oneCellAnchor>
  <xdr:twoCellAnchor editAs="oneCell">
    <xdr:from>
      <xdr:col>1</xdr:col>
      <xdr:colOff>66675</xdr:colOff>
      <xdr:row>42</xdr:row>
      <xdr:rowOff>171450</xdr:rowOff>
    </xdr:from>
    <xdr:to>
      <xdr:col>1</xdr:col>
      <xdr:colOff>498675</xdr:colOff>
      <xdr:row>45</xdr:row>
      <xdr:rowOff>31950</xdr:rowOff>
    </xdr:to>
    <xdr:pic>
      <xdr:nvPicPr>
        <xdr:cNvPr id="31" name="Picture 30">
          <a:extLst>
            <a:ext uri="{FF2B5EF4-FFF2-40B4-BE49-F238E27FC236}">
              <a16:creationId xmlns:a16="http://schemas.microsoft.com/office/drawing/2014/main" id="{00000000-0008-0000-0E00-00001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4325" y="10506075"/>
          <a:ext cx="432000" cy="432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xdr:row>
      <xdr:rowOff>114301</xdr:rowOff>
    </xdr:from>
    <xdr:to>
      <xdr:col>2</xdr:col>
      <xdr:colOff>598875</xdr:colOff>
      <xdr:row>3</xdr:row>
      <xdr:rowOff>57301</xdr:rowOff>
    </xdr:to>
    <xdr:sp macro="" textlink="">
      <xdr:nvSpPr>
        <xdr:cNvPr id="5" name="Rectangle à coins arrondis 2">
          <a:hlinkClick xmlns:r="http://schemas.openxmlformats.org/officeDocument/2006/relationships" r:id="rId1" tooltip="Back to Energy"/>
          <a:extLst>
            <a:ext uri="{FF2B5EF4-FFF2-40B4-BE49-F238E27FC236}">
              <a16:creationId xmlns:a16="http://schemas.microsoft.com/office/drawing/2014/main" id="{00000000-0008-0000-0F00-000005000000}"/>
            </a:ext>
          </a:extLst>
        </xdr:cNvPr>
        <xdr:cNvSpPr>
          <a:spLocks noChangeArrowheads="1"/>
        </xdr:cNvSpPr>
      </xdr:nvSpPr>
      <xdr:spPr bwMode="auto">
        <a:xfrm>
          <a:off x="276225" y="438151"/>
          <a:ext cx="198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1028700</xdr:colOff>
      <xdr:row>1</xdr:row>
      <xdr:rowOff>114300</xdr:rowOff>
    </xdr:from>
    <xdr:to>
      <xdr:col>4</xdr:col>
      <xdr:colOff>246450</xdr:colOff>
      <xdr:row>3</xdr:row>
      <xdr:rowOff>57300</xdr:rowOff>
    </xdr:to>
    <xdr:sp macro="" textlink="">
      <xdr:nvSpPr>
        <xdr:cNvPr id="6" name="Rectangle à coins arrondis 2">
          <a:hlinkClick xmlns:r="http://schemas.openxmlformats.org/officeDocument/2006/relationships" r:id="rId2" tooltip="See the Scorecard"/>
          <a:extLst>
            <a:ext uri="{FF2B5EF4-FFF2-40B4-BE49-F238E27FC236}">
              <a16:creationId xmlns:a16="http://schemas.microsoft.com/office/drawing/2014/main" id="{00000000-0008-0000-0F00-000006000000}"/>
            </a:ext>
          </a:extLst>
        </xdr:cNvPr>
        <xdr:cNvSpPr>
          <a:spLocks noChangeArrowheads="1"/>
        </xdr:cNvSpPr>
      </xdr:nvSpPr>
      <xdr:spPr bwMode="auto">
        <a:xfrm>
          <a:off x="2686050" y="43815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38100</xdr:colOff>
      <xdr:row>30</xdr:row>
      <xdr:rowOff>38100</xdr:rowOff>
    </xdr:from>
    <xdr:ext cx="401641" cy="396000"/>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325" y="7753350"/>
          <a:ext cx="401641" cy="396000"/>
        </a:xfrm>
        <a:prstGeom prst="rect">
          <a:avLst/>
        </a:prstGeom>
      </xdr:spPr>
    </xdr:pic>
    <xdr:clientData/>
  </xdr:oneCellAnchor>
  <xdr:twoCellAnchor editAs="oneCell">
    <xdr:from>
      <xdr:col>1</xdr:col>
      <xdr:colOff>28575</xdr:colOff>
      <xdr:row>27</xdr:row>
      <xdr:rowOff>123825</xdr:rowOff>
    </xdr:from>
    <xdr:to>
      <xdr:col>1</xdr:col>
      <xdr:colOff>388575</xdr:colOff>
      <xdr:row>29</xdr:row>
      <xdr:rowOff>102825</xdr:rowOff>
    </xdr:to>
    <xdr:pic>
      <xdr:nvPicPr>
        <xdr:cNvPr id="10" name="Picture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800" y="5619750"/>
          <a:ext cx="360000" cy="360000"/>
        </a:xfrm>
        <a:prstGeom prst="rect">
          <a:avLst/>
        </a:prstGeom>
      </xdr:spPr>
    </xdr:pic>
    <xdr:clientData/>
  </xdr:twoCellAnchor>
  <xdr:twoCellAnchor editAs="oneCell">
    <xdr:from>
      <xdr:col>1</xdr:col>
      <xdr:colOff>57150</xdr:colOff>
      <xdr:row>34</xdr:row>
      <xdr:rowOff>114300</xdr:rowOff>
    </xdr:from>
    <xdr:to>
      <xdr:col>1</xdr:col>
      <xdr:colOff>417150</xdr:colOff>
      <xdr:row>36</xdr:row>
      <xdr:rowOff>93300</xdr:rowOff>
    </xdr:to>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3375" y="6962775"/>
          <a:ext cx="360000" cy="360000"/>
        </a:xfrm>
        <a:prstGeom prst="rect">
          <a:avLst/>
        </a:prstGeom>
      </xdr:spPr>
    </xdr:pic>
    <xdr:clientData/>
  </xdr:twoCellAnchor>
  <xdr:twoCellAnchor editAs="oneCell">
    <xdr:from>
      <xdr:col>1</xdr:col>
      <xdr:colOff>19050</xdr:colOff>
      <xdr:row>90</xdr:row>
      <xdr:rowOff>142875</xdr:rowOff>
    </xdr:from>
    <xdr:to>
      <xdr:col>1</xdr:col>
      <xdr:colOff>379050</xdr:colOff>
      <xdr:row>91</xdr:row>
      <xdr:rowOff>350475</xdr:rowOff>
    </xdr:to>
    <xdr:pic>
      <xdr:nvPicPr>
        <xdr:cNvPr id="12" name="Picture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5275" y="19326225"/>
          <a:ext cx="360000" cy="360000"/>
        </a:xfrm>
        <a:prstGeom prst="rect">
          <a:avLst/>
        </a:prstGeom>
      </xdr:spPr>
    </xdr:pic>
    <xdr:clientData/>
  </xdr:twoCellAnchor>
  <xdr:oneCellAnchor>
    <xdr:from>
      <xdr:col>1</xdr:col>
      <xdr:colOff>28575</xdr:colOff>
      <xdr:row>71</xdr:row>
      <xdr:rowOff>123825</xdr:rowOff>
    </xdr:from>
    <xdr:ext cx="360000" cy="360000"/>
    <xdr:pic>
      <xdr:nvPicPr>
        <xdr:cNvPr id="13" name="Picture 12">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800" y="5734050"/>
          <a:ext cx="360000" cy="360000"/>
        </a:xfrm>
        <a:prstGeom prst="rect">
          <a:avLst/>
        </a:prstGeom>
      </xdr:spPr>
    </xdr:pic>
    <xdr:clientData/>
  </xdr:oneCellAnchor>
  <xdr:oneCellAnchor>
    <xdr:from>
      <xdr:col>1</xdr:col>
      <xdr:colOff>66675</xdr:colOff>
      <xdr:row>86</xdr:row>
      <xdr:rowOff>38100</xdr:rowOff>
    </xdr:from>
    <xdr:ext cx="401641" cy="396000"/>
    <xdr:pic>
      <xdr:nvPicPr>
        <xdr:cNvPr id="14" name="Picture 13">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900" y="19192875"/>
          <a:ext cx="401641" cy="396000"/>
        </a:xfrm>
        <a:prstGeom prst="rect">
          <a:avLst/>
        </a:prstGeom>
      </xdr:spPr>
    </xdr:pic>
    <xdr:clientData/>
  </xdr:oneCellAnchor>
  <xdr:twoCellAnchor>
    <xdr:from>
      <xdr:col>7</xdr:col>
      <xdr:colOff>285750</xdr:colOff>
      <xdr:row>1</xdr:row>
      <xdr:rowOff>104775</xdr:rowOff>
    </xdr:from>
    <xdr:to>
      <xdr:col>7</xdr:col>
      <xdr:colOff>733425</xdr:colOff>
      <xdr:row>3</xdr:row>
      <xdr:rowOff>76200</xdr:rowOff>
    </xdr:to>
    <xdr:sp macro="" textlink="">
      <xdr:nvSpPr>
        <xdr:cNvPr id="16" name="Up Arrow 15">
          <a:hlinkClick xmlns:r="http://schemas.openxmlformats.org/officeDocument/2006/relationships" r:id="rId6" tooltip="Back to top"/>
          <a:extLst>
            <a:ext uri="{FF2B5EF4-FFF2-40B4-BE49-F238E27FC236}">
              <a16:creationId xmlns:a16="http://schemas.microsoft.com/office/drawing/2014/main" id="{00000000-0008-0000-0F00-000010000000}"/>
            </a:ext>
          </a:extLst>
        </xdr:cNvPr>
        <xdr:cNvSpPr/>
      </xdr:nvSpPr>
      <xdr:spPr>
        <a:xfrm>
          <a:off x="8705850" y="42862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85725</xdr:colOff>
      <xdr:row>96</xdr:row>
      <xdr:rowOff>142875</xdr:rowOff>
    </xdr:from>
    <xdr:to>
      <xdr:col>1</xdr:col>
      <xdr:colOff>481725</xdr:colOff>
      <xdr:row>98</xdr:row>
      <xdr:rowOff>110250</xdr:rowOff>
    </xdr:to>
    <xdr:pic>
      <xdr:nvPicPr>
        <xdr:cNvPr id="17" name="Picture 16">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1950" y="20688300"/>
          <a:ext cx="396000" cy="396000"/>
        </a:xfrm>
        <a:prstGeom prst="rect">
          <a:avLst/>
        </a:prstGeom>
      </xdr:spPr>
    </xdr:pic>
    <xdr:clientData/>
  </xdr:twoCellAnchor>
  <xdr:twoCellAnchor>
    <xdr:from>
      <xdr:col>4</xdr:col>
      <xdr:colOff>847725</xdr:colOff>
      <xdr:row>21</xdr:row>
      <xdr:rowOff>152400</xdr:rowOff>
    </xdr:from>
    <xdr:to>
      <xdr:col>5</xdr:col>
      <xdr:colOff>1086600</xdr:colOff>
      <xdr:row>23</xdr:row>
      <xdr:rowOff>21300</xdr:rowOff>
    </xdr:to>
    <xdr:sp macro="" textlink="">
      <xdr:nvSpPr>
        <xdr:cNvPr id="18" name="Rectangle à coins arrondis 2">
          <a:hlinkClick xmlns:r="http://schemas.openxmlformats.org/officeDocument/2006/relationships" r:id="rId8" tooltip="Prescriptive Path"/>
          <a:extLst>
            <a:ext uri="{FF2B5EF4-FFF2-40B4-BE49-F238E27FC236}">
              <a16:creationId xmlns:a16="http://schemas.microsoft.com/office/drawing/2014/main" id="{00000000-0008-0000-0F00-000012000000}"/>
            </a:ext>
          </a:extLst>
        </xdr:cNvPr>
        <xdr:cNvSpPr>
          <a:spLocks noChangeArrowheads="1"/>
        </xdr:cNvSpPr>
      </xdr:nvSpPr>
      <xdr:spPr bwMode="auto">
        <a:xfrm>
          <a:off x="5267325" y="6019800"/>
          <a:ext cx="1620000" cy="307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6</xdr:col>
      <xdr:colOff>161924</xdr:colOff>
      <xdr:row>21</xdr:row>
      <xdr:rowOff>152400</xdr:rowOff>
    </xdr:from>
    <xdr:to>
      <xdr:col>7</xdr:col>
      <xdr:colOff>391274</xdr:colOff>
      <xdr:row>23</xdr:row>
      <xdr:rowOff>21300</xdr:rowOff>
    </xdr:to>
    <xdr:sp macro="" textlink="">
      <xdr:nvSpPr>
        <xdr:cNvPr id="19" name="Rectangle à coins arrondis 2">
          <a:hlinkClick xmlns:r="http://schemas.openxmlformats.org/officeDocument/2006/relationships" r:id="rId9" tooltip="Performance Path"/>
          <a:extLst>
            <a:ext uri="{FF2B5EF4-FFF2-40B4-BE49-F238E27FC236}">
              <a16:creationId xmlns:a16="http://schemas.microsoft.com/office/drawing/2014/main" id="{00000000-0008-0000-0F00-000013000000}"/>
            </a:ext>
          </a:extLst>
        </xdr:cNvPr>
        <xdr:cNvSpPr>
          <a:spLocks noChangeArrowheads="1"/>
        </xdr:cNvSpPr>
      </xdr:nvSpPr>
      <xdr:spPr bwMode="auto">
        <a:xfrm>
          <a:off x="7191374" y="6019800"/>
          <a:ext cx="1620000" cy="30705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4</xdr:col>
      <xdr:colOff>295275</xdr:colOff>
      <xdr:row>21</xdr:row>
      <xdr:rowOff>171450</xdr:rowOff>
    </xdr:from>
    <xdr:to>
      <xdr:col>4</xdr:col>
      <xdr:colOff>619275</xdr:colOff>
      <xdr:row>23</xdr:row>
      <xdr:rowOff>40350</xdr:rowOff>
    </xdr:to>
    <xdr:sp macro="" textlink="">
      <xdr:nvSpPr>
        <xdr:cNvPr id="20" name="Flèche droite 7">
          <a:extLst>
            <a:ext uri="{FF2B5EF4-FFF2-40B4-BE49-F238E27FC236}">
              <a16:creationId xmlns:a16="http://schemas.microsoft.com/office/drawing/2014/main" id="{00000000-0008-0000-0F00-000014000000}"/>
            </a:ext>
          </a:extLst>
        </xdr:cNvPr>
        <xdr:cNvSpPr/>
      </xdr:nvSpPr>
      <xdr:spPr>
        <a:xfrm>
          <a:off x="4714875" y="5981700"/>
          <a:ext cx="324000" cy="307050"/>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4</xdr:col>
      <xdr:colOff>800100</xdr:colOff>
      <xdr:row>1</xdr:row>
      <xdr:rowOff>133350</xdr:rowOff>
    </xdr:from>
    <xdr:to>
      <xdr:col>5</xdr:col>
      <xdr:colOff>426975</xdr:colOff>
      <xdr:row>3</xdr:row>
      <xdr:rowOff>40350</xdr:rowOff>
    </xdr:to>
    <xdr:sp macro="" textlink="">
      <xdr:nvSpPr>
        <xdr:cNvPr id="21" name="Rectangle à coins arrondis 2">
          <a:hlinkClick xmlns:r="http://schemas.openxmlformats.org/officeDocument/2006/relationships" r:id="rId10" tooltip="Strategy A"/>
          <a:extLst>
            <a:ext uri="{FF2B5EF4-FFF2-40B4-BE49-F238E27FC236}">
              <a16:creationId xmlns:a16="http://schemas.microsoft.com/office/drawing/2014/main" id="{00000000-0008-0000-0F00-000015000000}"/>
            </a:ext>
          </a:extLst>
        </xdr:cNvPr>
        <xdr:cNvSpPr>
          <a:spLocks noChangeArrowheads="1"/>
        </xdr:cNvSpPr>
      </xdr:nvSpPr>
      <xdr:spPr bwMode="auto">
        <a:xfrm>
          <a:off x="5219700" y="457200"/>
          <a:ext cx="1008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542924</xdr:colOff>
      <xdr:row>1</xdr:row>
      <xdr:rowOff>133350</xdr:rowOff>
    </xdr:from>
    <xdr:to>
      <xdr:col>6</xdr:col>
      <xdr:colOff>322199</xdr:colOff>
      <xdr:row>3</xdr:row>
      <xdr:rowOff>40350</xdr:rowOff>
    </xdr:to>
    <xdr:sp macro="" textlink="">
      <xdr:nvSpPr>
        <xdr:cNvPr id="22" name="Rectangle à coins arrondis 2">
          <a:hlinkClick xmlns:r="http://schemas.openxmlformats.org/officeDocument/2006/relationships" r:id="rId11" tooltip="Strategy B"/>
          <a:extLst>
            <a:ext uri="{FF2B5EF4-FFF2-40B4-BE49-F238E27FC236}">
              <a16:creationId xmlns:a16="http://schemas.microsoft.com/office/drawing/2014/main" id="{00000000-0008-0000-0F00-000016000000}"/>
            </a:ext>
          </a:extLst>
        </xdr:cNvPr>
        <xdr:cNvSpPr>
          <a:spLocks noChangeArrowheads="1"/>
        </xdr:cNvSpPr>
      </xdr:nvSpPr>
      <xdr:spPr bwMode="auto">
        <a:xfrm>
          <a:off x="6343649" y="457200"/>
          <a:ext cx="1008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editAs="oneCell">
    <xdr:from>
      <xdr:col>1</xdr:col>
      <xdr:colOff>66676</xdr:colOff>
      <xdr:row>147</xdr:row>
      <xdr:rowOff>57150</xdr:rowOff>
    </xdr:from>
    <xdr:to>
      <xdr:col>1</xdr:col>
      <xdr:colOff>541342</xdr:colOff>
      <xdr:row>149</xdr:row>
      <xdr:rowOff>144150</xdr:rowOff>
    </xdr:to>
    <xdr:pic>
      <xdr:nvPicPr>
        <xdr:cNvPr id="23" name="Picture 22">
          <a:extLst>
            <a:ext uri="{FF2B5EF4-FFF2-40B4-BE49-F238E27FC236}">
              <a16:creationId xmlns:a16="http://schemas.microsoft.com/office/drawing/2014/main" id="{00000000-0008-0000-0F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42901" y="22069425"/>
          <a:ext cx="474666" cy="468000"/>
        </a:xfrm>
        <a:prstGeom prst="rect">
          <a:avLst/>
        </a:prstGeom>
      </xdr:spPr>
    </xdr:pic>
    <xdr:clientData/>
  </xdr:twoCellAnchor>
  <xdr:twoCellAnchor editAs="oneCell">
    <xdr:from>
      <xdr:col>1</xdr:col>
      <xdr:colOff>76200</xdr:colOff>
      <xdr:row>150</xdr:row>
      <xdr:rowOff>95250</xdr:rowOff>
    </xdr:from>
    <xdr:to>
      <xdr:col>1</xdr:col>
      <xdr:colOff>472200</xdr:colOff>
      <xdr:row>152</xdr:row>
      <xdr:rowOff>110250</xdr:rowOff>
    </xdr:to>
    <xdr:pic>
      <xdr:nvPicPr>
        <xdr:cNvPr id="24" name="Picture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22679025"/>
          <a:ext cx="396000" cy="396000"/>
        </a:xfrm>
        <a:prstGeom prst="rect">
          <a:avLst/>
        </a:prstGeom>
      </xdr:spPr>
    </xdr:pic>
    <xdr:clientData/>
  </xdr:twoCellAnchor>
  <xdr:twoCellAnchor editAs="oneCell">
    <xdr:from>
      <xdr:col>1</xdr:col>
      <xdr:colOff>38100</xdr:colOff>
      <xdr:row>138</xdr:row>
      <xdr:rowOff>57150</xdr:rowOff>
    </xdr:from>
    <xdr:to>
      <xdr:col>1</xdr:col>
      <xdr:colOff>542100</xdr:colOff>
      <xdr:row>140</xdr:row>
      <xdr:rowOff>180150</xdr:rowOff>
    </xdr:to>
    <xdr:pic>
      <xdr:nvPicPr>
        <xdr:cNvPr id="25" name="Picture 24">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21116925"/>
          <a:ext cx="504000" cy="504000"/>
        </a:xfrm>
        <a:prstGeom prst="rect">
          <a:avLst/>
        </a:prstGeom>
      </xdr:spPr>
    </xdr:pic>
    <xdr:clientData/>
  </xdr:twoCellAnchor>
  <xdr:twoCellAnchor editAs="oneCell">
    <xdr:from>
      <xdr:col>0</xdr:col>
      <xdr:colOff>19050</xdr:colOff>
      <xdr:row>203</xdr:row>
      <xdr:rowOff>9525</xdr:rowOff>
    </xdr:from>
    <xdr:to>
      <xdr:col>4</xdr:col>
      <xdr:colOff>199450</xdr:colOff>
      <xdr:row>220</xdr:row>
      <xdr:rowOff>123406</xdr:rowOff>
    </xdr:to>
    <xdr:pic>
      <xdr:nvPicPr>
        <xdr:cNvPr id="27" name="Picture 26">
          <a:extLst>
            <a:ext uri="{FF2B5EF4-FFF2-40B4-BE49-F238E27FC236}">
              <a16:creationId xmlns:a16="http://schemas.microsoft.com/office/drawing/2014/main" id="{00000000-0008-0000-0F00-00001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 y="42833925"/>
          <a:ext cx="4600000" cy="3352381"/>
        </a:xfrm>
        <a:prstGeom prst="rect">
          <a:avLst/>
        </a:prstGeom>
      </xdr:spPr>
    </xdr:pic>
    <xdr:clientData/>
  </xdr:twoCellAnchor>
  <xdr:twoCellAnchor editAs="oneCell">
    <xdr:from>
      <xdr:col>4</xdr:col>
      <xdr:colOff>112064</xdr:colOff>
      <xdr:row>200</xdr:row>
      <xdr:rowOff>47625</xdr:rowOff>
    </xdr:from>
    <xdr:to>
      <xdr:col>10</xdr:col>
      <xdr:colOff>552450</xdr:colOff>
      <xdr:row>224</xdr:row>
      <xdr:rowOff>104775</xdr:rowOff>
    </xdr:to>
    <xdr:pic>
      <xdr:nvPicPr>
        <xdr:cNvPr id="28" name="Picture 27">
          <a:extLst>
            <a:ext uri="{FF2B5EF4-FFF2-40B4-BE49-F238E27FC236}">
              <a16:creationId xmlns:a16="http://schemas.microsoft.com/office/drawing/2014/main" id="{00000000-0008-0000-0F00-00001C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00" r="350" b="1086"/>
        <a:stretch/>
      </xdr:blipFill>
      <xdr:spPr>
        <a:xfrm>
          <a:off x="4531664" y="42300525"/>
          <a:ext cx="7279336" cy="4629150"/>
        </a:xfrm>
        <a:prstGeom prst="rect">
          <a:avLst/>
        </a:prstGeom>
      </xdr:spPr>
    </xdr:pic>
    <xdr:clientData/>
  </xdr:twoCellAnchor>
  <xdr:twoCellAnchor editAs="oneCell">
    <xdr:from>
      <xdr:col>1</xdr:col>
      <xdr:colOff>28575</xdr:colOff>
      <xdr:row>225</xdr:row>
      <xdr:rowOff>152400</xdr:rowOff>
    </xdr:from>
    <xdr:to>
      <xdr:col>1</xdr:col>
      <xdr:colOff>496575</xdr:colOff>
      <xdr:row>228</xdr:row>
      <xdr:rowOff>48900</xdr:rowOff>
    </xdr:to>
    <xdr:pic>
      <xdr:nvPicPr>
        <xdr:cNvPr id="31" name="Picture 30">
          <a:extLst>
            <a:ext uri="{FF2B5EF4-FFF2-40B4-BE49-F238E27FC236}">
              <a16:creationId xmlns:a16="http://schemas.microsoft.com/office/drawing/2014/main" id="{00000000-0008-0000-0F00-00001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800" y="37823775"/>
          <a:ext cx="468000" cy="468000"/>
        </a:xfrm>
        <a:prstGeom prst="rect">
          <a:avLst/>
        </a:prstGeom>
      </xdr:spPr>
    </xdr:pic>
    <xdr:clientData/>
  </xdr:twoCellAnchor>
  <xdr:twoCellAnchor editAs="oneCell">
    <xdr:from>
      <xdr:col>1</xdr:col>
      <xdr:colOff>0</xdr:colOff>
      <xdr:row>191</xdr:row>
      <xdr:rowOff>76200</xdr:rowOff>
    </xdr:from>
    <xdr:to>
      <xdr:col>1</xdr:col>
      <xdr:colOff>432000</xdr:colOff>
      <xdr:row>193</xdr:row>
      <xdr:rowOff>127200</xdr:rowOff>
    </xdr:to>
    <xdr:pic>
      <xdr:nvPicPr>
        <xdr:cNvPr id="32" name="Picture 31">
          <a:extLst>
            <a:ext uri="{FF2B5EF4-FFF2-40B4-BE49-F238E27FC236}">
              <a16:creationId xmlns:a16="http://schemas.microsoft.com/office/drawing/2014/main" id="{00000000-0008-0000-0F00-00002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30403800"/>
          <a:ext cx="432000" cy="432000"/>
        </a:xfrm>
        <a:prstGeom prst="rect">
          <a:avLst/>
        </a:prstGeom>
      </xdr:spPr>
    </xdr:pic>
    <xdr:clientData/>
  </xdr:twoCellAnchor>
  <xdr:twoCellAnchor editAs="oneCell">
    <xdr:from>
      <xdr:col>1</xdr:col>
      <xdr:colOff>19050</xdr:colOff>
      <xdr:row>196</xdr:row>
      <xdr:rowOff>276225</xdr:rowOff>
    </xdr:from>
    <xdr:to>
      <xdr:col>1</xdr:col>
      <xdr:colOff>566742</xdr:colOff>
      <xdr:row>197</xdr:row>
      <xdr:rowOff>368550</xdr:rowOff>
    </xdr:to>
    <xdr:pic>
      <xdr:nvPicPr>
        <xdr:cNvPr id="33" name="Picture 32">
          <a:extLst>
            <a:ext uri="{FF2B5EF4-FFF2-40B4-BE49-F238E27FC236}">
              <a16:creationId xmlns:a16="http://schemas.microsoft.com/office/drawing/2014/main" id="{00000000-0008-0000-0F00-00002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95275" y="40852725"/>
          <a:ext cx="547692" cy="540000"/>
        </a:xfrm>
        <a:prstGeom prst="rect">
          <a:avLst/>
        </a:prstGeom>
      </xdr:spPr>
    </xdr:pic>
    <xdr:clientData/>
  </xdr:twoCellAnchor>
  <xdr:twoCellAnchor editAs="oneCell">
    <xdr:from>
      <xdr:col>1</xdr:col>
      <xdr:colOff>57150</xdr:colOff>
      <xdr:row>230</xdr:row>
      <xdr:rowOff>19050</xdr:rowOff>
    </xdr:from>
    <xdr:to>
      <xdr:col>1</xdr:col>
      <xdr:colOff>453150</xdr:colOff>
      <xdr:row>231</xdr:row>
      <xdr:rowOff>186450</xdr:rowOff>
    </xdr:to>
    <xdr:pic>
      <xdr:nvPicPr>
        <xdr:cNvPr id="34" name="Picture 33">
          <a:extLst>
            <a:ext uri="{FF2B5EF4-FFF2-40B4-BE49-F238E27FC236}">
              <a16:creationId xmlns:a16="http://schemas.microsoft.com/office/drawing/2014/main" id="{00000000-0008-0000-0F00-00002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33375" y="48025050"/>
          <a:ext cx="396000" cy="396000"/>
        </a:xfrm>
        <a:prstGeom prst="rect">
          <a:avLst/>
        </a:prstGeom>
      </xdr:spPr>
    </xdr:pic>
    <xdr:clientData/>
  </xdr:twoCellAnchor>
  <xdr:twoCellAnchor editAs="oneCell">
    <xdr:from>
      <xdr:col>1</xdr:col>
      <xdr:colOff>38100</xdr:colOff>
      <xdr:row>232</xdr:row>
      <xdr:rowOff>123825</xdr:rowOff>
    </xdr:from>
    <xdr:to>
      <xdr:col>1</xdr:col>
      <xdr:colOff>398100</xdr:colOff>
      <xdr:row>234</xdr:row>
      <xdr:rowOff>93300</xdr:rowOff>
    </xdr:to>
    <xdr:pic>
      <xdr:nvPicPr>
        <xdr:cNvPr id="37" name="Picture 36">
          <a:extLst>
            <a:ext uri="{FF2B5EF4-FFF2-40B4-BE49-F238E27FC236}">
              <a16:creationId xmlns:a16="http://schemas.microsoft.com/office/drawing/2014/main" id="{00000000-0008-0000-0F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4325" y="48587025"/>
          <a:ext cx="360000" cy="360000"/>
        </a:xfrm>
        <a:prstGeom prst="rect">
          <a:avLst/>
        </a:prstGeom>
      </xdr:spPr>
    </xdr:pic>
    <xdr:clientData/>
  </xdr:twoCellAnchor>
  <xdr:twoCellAnchor>
    <xdr:from>
      <xdr:col>6</xdr:col>
      <xdr:colOff>447675</xdr:colOff>
      <xdr:row>1</xdr:row>
      <xdr:rowOff>133350</xdr:rowOff>
    </xdr:from>
    <xdr:to>
      <xdr:col>7</xdr:col>
      <xdr:colOff>65025</xdr:colOff>
      <xdr:row>3</xdr:row>
      <xdr:rowOff>40350</xdr:rowOff>
    </xdr:to>
    <xdr:sp macro="" textlink="">
      <xdr:nvSpPr>
        <xdr:cNvPr id="39" name="Rectangle à coins arrondis 2">
          <a:hlinkClick xmlns:r="http://schemas.openxmlformats.org/officeDocument/2006/relationships" r:id="rId16" tooltip="Strategy C"/>
          <a:extLst>
            <a:ext uri="{FF2B5EF4-FFF2-40B4-BE49-F238E27FC236}">
              <a16:creationId xmlns:a16="http://schemas.microsoft.com/office/drawing/2014/main" id="{00000000-0008-0000-0F00-000027000000}"/>
            </a:ext>
          </a:extLst>
        </xdr:cNvPr>
        <xdr:cNvSpPr>
          <a:spLocks noChangeArrowheads="1"/>
        </xdr:cNvSpPr>
      </xdr:nvSpPr>
      <xdr:spPr bwMode="auto">
        <a:xfrm>
          <a:off x="7477125" y="457200"/>
          <a:ext cx="1008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editAs="oneCell">
    <xdr:from>
      <xdr:col>1</xdr:col>
      <xdr:colOff>38100</xdr:colOff>
      <xdr:row>144</xdr:row>
      <xdr:rowOff>123825</xdr:rowOff>
    </xdr:from>
    <xdr:to>
      <xdr:col>1</xdr:col>
      <xdr:colOff>398100</xdr:colOff>
      <xdr:row>146</xdr:row>
      <xdr:rowOff>102825</xdr:rowOff>
    </xdr:to>
    <xdr:pic>
      <xdr:nvPicPr>
        <xdr:cNvPr id="30" name="Picture 29">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14325" y="31784925"/>
          <a:ext cx="360000" cy="360000"/>
        </a:xfrm>
        <a:prstGeom prst="rect">
          <a:avLst/>
        </a:prstGeom>
      </xdr:spPr>
    </xdr:pic>
    <xdr:clientData/>
  </xdr:twoCellAnchor>
  <xdr:oneCellAnchor>
    <xdr:from>
      <xdr:col>1</xdr:col>
      <xdr:colOff>76200</xdr:colOff>
      <xdr:row>169</xdr:row>
      <xdr:rowOff>95250</xdr:rowOff>
    </xdr:from>
    <xdr:ext cx="396000" cy="396000"/>
    <xdr:pic>
      <xdr:nvPicPr>
        <xdr:cNvPr id="29" name="Picture 28">
          <a:extLst>
            <a:ext uri="{FF2B5EF4-FFF2-40B4-BE49-F238E27FC236}">
              <a16:creationId xmlns:a16="http://schemas.microsoft.com/office/drawing/2014/main" id="{00000000-0008-0000-0F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33051750"/>
          <a:ext cx="396000" cy="3960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6</xdr:col>
      <xdr:colOff>600075</xdr:colOff>
      <xdr:row>5</xdr:row>
      <xdr:rowOff>95250</xdr:rowOff>
    </xdr:from>
    <xdr:to>
      <xdr:col>7</xdr:col>
      <xdr:colOff>580500</xdr:colOff>
      <xdr:row>6</xdr:row>
      <xdr:rowOff>99600</xdr:rowOff>
    </xdr:to>
    <xdr:sp macro="" textlink="">
      <xdr:nvSpPr>
        <xdr:cNvPr id="5" name="Rectangle à coins arrondis 2">
          <a:hlinkClick xmlns:r="http://schemas.openxmlformats.org/officeDocument/2006/relationships" r:id="rId1" tooltip="Option A"/>
          <a:extLst>
            <a:ext uri="{FF2B5EF4-FFF2-40B4-BE49-F238E27FC236}">
              <a16:creationId xmlns:a16="http://schemas.microsoft.com/office/drawing/2014/main" id="{00000000-0008-0000-1000-000005000000}"/>
            </a:ext>
          </a:extLst>
        </xdr:cNvPr>
        <xdr:cNvSpPr>
          <a:spLocks noChangeArrowheads="1"/>
        </xdr:cNvSpPr>
      </xdr:nvSpPr>
      <xdr:spPr bwMode="auto">
        <a:xfrm>
          <a:off x="7924800" y="1257300"/>
          <a:ext cx="1152000"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A</a:t>
          </a:r>
        </a:p>
      </xdr:txBody>
    </xdr:sp>
    <xdr:clientData/>
  </xdr:twoCellAnchor>
  <xdr:twoCellAnchor>
    <xdr:from>
      <xdr:col>7</xdr:col>
      <xdr:colOff>781049</xdr:colOff>
      <xdr:row>5</xdr:row>
      <xdr:rowOff>95250</xdr:rowOff>
    </xdr:from>
    <xdr:to>
      <xdr:col>8</xdr:col>
      <xdr:colOff>466199</xdr:colOff>
      <xdr:row>6</xdr:row>
      <xdr:rowOff>99600</xdr:rowOff>
    </xdr:to>
    <xdr:sp macro="" textlink="">
      <xdr:nvSpPr>
        <xdr:cNvPr id="6" name="Rectangle à coins arrondis 2">
          <a:hlinkClick xmlns:r="http://schemas.openxmlformats.org/officeDocument/2006/relationships" r:id="rId2" tooltip="Option B"/>
          <a:extLst>
            <a:ext uri="{FF2B5EF4-FFF2-40B4-BE49-F238E27FC236}">
              <a16:creationId xmlns:a16="http://schemas.microsoft.com/office/drawing/2014/main" id="{00000000-0008-0000-1000-000006000000}"/>
            </a:ext>
          </a:extLst>
        </xdr:cNvPr>
        <xdr:cNvSpPr>
          <a:spLocks noChangeArrowheads="1"/>
        </xdr:cNvSpPr>
      </xdr:nvSpPr>
      <xdr:spPr bwMode="auto">
        <a:xfrm>
          <a:off x="9277349" y="1257300"/>
          <a:ext cx="1152000" cy="27105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B</a:t>
          </a:r>
        </a:p>
      </xdr:txBody>
    </xdr:sp>
    <xdr:clientData/>
  </xdr:twoCellAnchor>
  <xdr:twoCellAnchor>
    <xdr:from>
      <xdr:col>6</xdr:col>
      <xdr:colOff>95250</xdr:colOff>
      <xdr:row>5</xdr:row>
      <xdr:rowOff>104775</xdr:rowOff>
    </xdr:from>
    <xdr:to>
      <xdr:col>6</xdr:col>
      <xdr:colOff>419250</xdr:colOff>
      <xdr:row>6</xdr:row>
      <xdr:rowOff>109125</xdr:rowOff>
    </xdr:to>
    <xdr:sp macro="" textlink="">
      <xdr:nvSpPr>
        <xdr:cNvPr id="7" name="Flèche droite 6">
          <a:extLst>
            <a:ext uri="{FF2B5EF4-FFF2-40B4-BE49-F238E27FC236}">
              <a16:creationId xmlns:a16="http://schemas.microsoft.com/office/drawing/2014/main" id="{00000000-0008-0000-1000-000007000000}"/>
            </a:ext>
          </a:extLst>
        </xdr:cNvPr>
        <xdr:cNvSpPr/>
      </xdr:nvSpPr>
      <xdr:spPr>
        <a:xfrm>
          <a:off x="7419975" y="1266825"/>
          <a:ext cx="324000" cy="271050"/>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1</xdr:col>
      <xdr:colOff>0</xdr:colOff>
      <xdr:row>1</xdr:row>
      <xdr:rowOff>133350</xdr:rowOff>
    </xdr:from>
    <xdr:to>
      <xdr:col>2</xdr:col>
      <xdr:colOff>778875</xdr:colOff>
      <xdr:row>3</xdr:row>
      <xdr:rowOff>76350</xdr:rowOff>
    </xdr:to>
    <xdr:sp macro="" textlink="">
      <xdr:nvSpPr>
        <xdr:cNvPr id="8" name="Rectangle à coins arrondis 2">
          <a:hlinkClick xmlns:r="http://schemas.openxmlformats.org/officeDocument/2006/relationships" r:id="rId3" tooltip="Back to Energy"/>
          <a:extLst>
            <a:ext uri="{FF2B5EF4-FFF2-40B4-BE49-F238E27FC236}">
              <a16:creationId xmlns:a16="http://schemas.microsoft.com/office/drawing/2014/main" id="{00000000-0008-0000-1000-000008000000}"/>
            </a:ext>
          </a:extLst>
        </xdr:cNvPr>
        <xdr:cNvSpPr>
          <a:spLocks noChangeArrowheads="1"/>
        </xdr:cNvSpPr>
      </xdr:nvSpPr>
      <xdr:spPr bwMode="auto">
        <a:xfrm>
          <a:off x="276225" y="457200"/>
          <a:ext cx="216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1228725</xdr:colOff>
      <xdr:row>1</xdr:row>
      <xdr:rowOff>133350</xdr:rowOff>
    </xdr:from>
    <xdr:to>
      <xdr:col>4</xdr:col>
      <xdr:colOff>512175</xdr:colOff>
      <xdr:row>3</xdr:row>
      <xdr:rowOff>76350</xdr:rowOff>
    </xdr:to>
    <xdr:sp macro="" textlink="">
      <xdr:nvSpPr>
        <xdr:cNvPr id="9" name="Rectangle à coins arrondis 8">
          <a:hlinkClick xmlns:r="http://schemas.openxmlformats.org/officeDocument/2006/relationships" r:id="rId4" tooltip="Scorecard"/>
          <a:extLst>
            <a:ext uri="{FF2B5EF4-FFF2-40B4-BE49-F238E27FC236}">
              <a16:creationId xmlns:a16="http://schemas.microsoft.com/office/drawing/2014/main" id="{00000000-0008-0000-1000-000009000000}"/>
            </a:ext>
          </a:extLst>
        </xdr:cNvPr>
        <xdr:cNvSpPr>
          <a:spLocks noChangeArrowheads="1"/>
        </xdr:cNvSpPr>
      </xdr:nvSpPr>
      <xdr:spPr bwMode="auto">
        <a:xfrm>
          <a:off x="2857500" y="4572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38100</xdr:colOff>
      <xdr:row>19</xdr:row>
      <xdr:rowOff>114300</xdr:rowOff>
    </xdr:from>
    <xdr:to>
      <xdr:col>1</xdr:col>
      <xdr:colOff>398100</xdr:colOff>
      <xdr:row>21</xdr:row>
      <xdr:rowOff>93300</xdr:rowOff>
    </xdr:to>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4325" y="4591050"/>
          <a:ext cx="360000" cy="360000"/>
        </a:xfrm>
        <a:prstGeom prst="rect">
          <a:avLst/>
        </a:prstGeom>
      </xdr:spPr>
    </xdr:pic>
    <xdr:clientData/>
  </xdr:twoCellAnchor>
  <xdr:oneCellAnchor>
    <xdr:from>
      <xdr:col>1</xdr:col>
      <xdr:colOff>38100</xdr:colOff>
      <xdr:row>43</xdr:row>
      <xdr:rowOff>114300</xdr:rowOff>
    </xdr:from>
    <xdr:ext cx="360000" cy="360000"/>
    <xdr:pic>
      <xdr:nvPicPr>
        <xdr:cNvPr id="12" name="Picture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4325" y="4591050"/>
          <a:ext cx="360000" cy="360000"/>
        </a:xfrm>
        <a:prstGeom prst="rect">
          <a:avLst/>
        </a:prstGeom>
      </xdr:spPr>
    </xdr:pic>
    <xdr:clientData/>
  </xdr:oneCellAnchor>
  <xdr:twoCellAnchor editAs="oneCell">
    <xdr:from>
      <xdr:col>1</xdr:col>
      <xdr:colOff>38100</xdr:colOff>
      <xdr:row>22</xdr:row>
      <xdr:rowOff>19050</xdr:rowOff>
    </xdr:from>
    <xdr:to>
      <xdr:col>1</xdr:col>
      <xdr:colOff>398100</xdr:colOff>
      <xdr:row>24</xdr:row>
      <xdr:rowOff>102825</xdr:rowOff>
    </xdr:to>
    <xdr:pic>
      <xdr:nvPicPr>
        <xdr:cNvPr id="13" name="Picture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5048250"/>
          <a:ext cx="360000" cy="360000"/>
        </a:xfrm>
        <a:prstGeom prst="rect">
          <a:avLst/>
        </a:prstGeom>
      </xdr:spPr>
    </xdr:pic>
    <xdr:clientData/>
  </xdr:twoCellAnchor>
  <xdr:oneCellAnchor>
    <xdr:from>
      <xdr:col>1</xdr:col>
      <xdr:colOff>19050</xdr:colOff>
      <xdr:row>52</xdr:row>
      <xdr:rowOff>19050</xdr:rowOff>
    </xdr:from>
    <xdr:ext cx="360000" cy="360000"/>
    <xdr:pic>
      <xdr:nvPicPr>
        <xdr:cNvPr id="15" name="Picture 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6700" y="10953750"/>
          <a:ext cx="360000" cy="360000"/>
        </a:xfrm>
        <a:prstGeom prst="rect">
          <a:avLst/>
        </a:prstGeom>
      </xdr:spPr>
    </xdr:pic>
    <xdr:clientData/>
  </xdr:oneCellAnchor>
  <xdr:oneCellAnchor>
    <xdr:from>
      <xdr:col>1</xdr:col>
      <xdr:colOff>38100</xdr:colOff>
      <xdr:row>47</xdr:row>
      <xdr:rowOff>104775</xdr:rowOff>
    </xdr:from>
    <xdr:ext cx="360000" cy="360000"/>
    <xdr:pic>
      <xdr:nvPicPr>
        <xdr:cNvPr id="16" name="Picture 15">
          <a:extLst>
            <a:ext uri="{FF2B5EF4-FFF2-40B4-BE49-F238E27FC236}">
              <a16:creationId xmlns:a16="http://schemas.microsoft.com/office/drawing/2014/main" id="{00000000-0008-0000-10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10210800"/>
          <a:ext cx="360000" cy="360000"/>
        </a:xfrm>
        <a:prstGeom prst="rect">
          <a:avLst/>
        </a:prstGeom>
      </xdr:spPr>
    </xdr:pic>
    <xdr:clientData/>
  </xdr:oneCellAnchor>
  <xdr:oneCellAnchor>
    <xdr:from>
      <xdr:col>1</xdr:col>
      <xdr:colOff>38100</xdr:colOff>
      <xdr:row>54</xdr:row>
      <xdr:rowOff>95250</xdr:rowOff>
    </xdr:from>
    <xdr:ext cx="360000" cy="360000"/>
    <xdr:pic>
      <xdr:nvPicPr>
        <xdr:cNvPr id="17" name="Picture 16">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11515725"/>
          <a:ext cx="360000" cy="360000"/>
        </a:xfrm>
        <a:prstGeom prst="rect">
          <a:avLst/>
        </a:prstGeom>
      </xdr:spPr>
    </xdr:pic>
    <xdr:clientData/>
  </xdr:oneCellAnchor>
  <xdr:twoCellAnchor>
    <xdr:from>
      <xdr:col>6</xdr:col>
      <xdr:colOff>704850</xdr:colOff>
      <xdr:row>1</xdr:row>
      <xdr:rowOff>95250</xdr:rowOff>
    </xdr:from>
    <xdr:to>
      <xdr:col>6</xdr:col>
      <xdr:colOff>1152525</xdr:colOff>
      <xdr:row>3</xdr:row>
      <xdr:rowOff>66675</xdr:rowOff>
    </xdr:to>
    <xdr:sp macro="" textlink="">
      <xdr:nvSpPr>
        <xdr:cNvPr id="14" name="Up Arrow 13">
          <a:hlinkClick xmlns:r="http://schemas.openxmlformats.org/officeDocument/2006/relationships" r:id="rId7" tooltip="Back to top"/>
          <a:extLst>
            <a:ext uri="{FF2B5EF4-FFF2-40B4-BE49-F238E27FC236}">
              <a16:creationId xmlns:a16="http://schemas.microsoft.com/office/drawing/2014/main" id="{00000000-0008-0000-1000-00000E000000}"/>
            </a:ext>
          </a:extLst>
        </xdr:cNvPr>
        <xdr:cNvSpPr/>
      </xdr:nvSpPr>
      <xdr:spPr>
        <a:xfrm>
          <a:off x="8029575" y="419100"/>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219075</xdr:colOff>
      <xdr:row>1</xdr:row>
      <xdr:rowOff>114300</xdr:rowOff>
    </xdr:from>
    <xdr:to>
      <xdr:col>2</xdr:col>
      <xdr:colOff>636975</xdr:colOff>
      <xdr:row>3</xdr:row>
      <xdr:rowOff>57300</xdr:rowOff>
    </xdr:to>
    <xdr:sp macro="" textlink="">
      <xdr:nvSpPr>
        <xdr:cNvPr id="7" name="Rectangle à coins arrondis 2">
          <a:hlinkClick xmlns:r="http://schemas.openxmlformats.org/officeDocument/2006/relationships" r:id="rId1" tooltip="Back to Energy"/>
          <a:extLst>
            <a:ext uri="{FF2B5EF4-FFF2-40B4-BE49-F238E27FC236}">
              <a16:creationId xmlns:a16="http://schemas.microsoft.com/office/drawing/2014/main" id="{00000000-0008-0000-1100-000007000000}"/>
            </a:ext>
          </a:extLst>
        </xdr:cNvPr>
        <xdr:cNvSpPr>
          <a:spLocks noChangeArrowheads="1"/>
        </xdr:cNvSpPr>
      </xdr:nvSpPr>
      <xdr:spPr bwMode="auto">
        <a:xfrm>
          <a:off x="219075" y="438150"/>
          <a:ext cx="198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981075</xdr:colOff>
      <xdr:row>1</xdr:row>
      <xdr:rowOff>114300</xdr:rowOff>
    </xdr:from>
    <xdr:to>
      <xdr:col>4</xdr:col>
      <xdr:colOff>741750</xdr:colOff>
      <xdr:row>3</xdr:row>
      <xdr:rowOff>57300</xdr:rowOff>
    </xdr:to>
    <xdr:sp macro="" textlink="">
      <xdr:nvSpPr>
        <xdr:cNvPr id="8" name="Rectangle à coins arrondis 7">
          <a:hlinkClick xmlns:r="http://schemas.openxmlformats.org/officeDocument/2006/relationships" r:id="rId2" tooltip="Scorecard"/>
          <a:extLst>
            <a:ext uri="{FF2B5EF4-FFF2-40B4-BE49-F238E27FC236}">
              <a16:creationId xmlns:a16="http://schemas.microsoft.com/office/drawing/2014/main" id="{00000000-0008-0000-1100-000008000000}"/>
            </a:ext>
          </a:extLst>
        </xdr:cNvPr>
        <xdr:cNvSpPr>
          <a:spLocks noChangeArrowheads="1"/>
        </xdr:cNvSpPr>
      </xdr:nvSpPr>
      <xdr:spPr bwMode="auto">
        <a:xfrm>
          <a:off x="2543175" y="43815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0</xdr:colOff>
      <xdr:row>18</xdr:row>
      <xdr:rowOff>95250</xdr:rowOff>
    </xdr:from>
    <xdr:to>
      <xdr:col>1</xdr:col>
      <xdr:colOff>396000</xdr:colOff>
      <xdr:row>20</xdr:row>
      <xdr:rowOff>110250</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225" y="4676775"/>
          <a:ext cx="396000" cy="396000"/>
        </a:xfrm>
        <a:prstGeom prst="rect">
          <a:avLst/>
        </a:prstGeom>
      </xdr:spPr>
    </xdr:pic>
    <xdr:clientData/>
  </xdr:twoCellAnchor>
  <xdr:twoCellAnchor editAs="oneCell">
    <xdr:from>
      <xdr:col>1</xdr:col>
      <xdr:colOff>19050</xdr:colOff>
      <xdr:row>21</xdr:row>
      <xdr:rowOff>38100</xdr:rowOff>
    </xdr:from>
    <xdr:to>
      <xdr:col>1</xdr:col>
      <xdr:colOff>379050</xdr:colOff>
      <xdr:row>22</xdr:row>
      <xdr:rowOff>169500</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5275" y="4010025"/>
          <a:ext cx="360000" cy="360000"/>
        </a:xfrm>
        <a:prstGeom prst="rect">
          <a:avLst/>
        </a:prstGeom>
      </xdr:spPr>
    </xdr:pic>
    <xdr:clientData/>
  </xdr:twoCellAnchor>
  <xdr:twoCellAnchor editAs="oneCell">
    <xdr:from>
      <xdr:col>1</xdr:col>
      <xdr:colOff>85725</xdr:colOff>
      <xdr:row>26</xdr:row>
      <xdr:rowOff>171450</xdr:rowOff>
    </xdr:from>
    <xdr:to>
      <xdr:col>1</xdr:col>
      <xdr:colOff>697725</xdr:colOff>
      <xdr:row>30</xdr:row>
      <xdr:rowOff>21450</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3850" y="5133975"/>
          <a:ext cx="612000" cy="612000"/>
        </a:xfrm>
        <a:prstGeom prst="rect">
          <a:avLst/>
        </a:prstGeom>
      </xdr:spPr>
    </xdr:pic>
    <xdr:clientData/>
  </xdr:twoCellAnchor>
  <xdr:twoCellAnchor editAs="oneCell">
    <xdr:from>
      <xdr:col>1</xdr:col>
      <xdr:colOff>38100</xdr:colOff>
      <xdr:row>35</xdr:row>
      <xdr:rowOff>85725</xdr:rowOff>
    </xdr:from>
    <xdr:to>
      <xdr:col>1</xdr:col>
      <xdr:colOff>398100</xdr:colOff>
      <xdr:row>37</xdr:row>
      <xdr:rowOff>93300</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4325" y="6886575"/>
          <a:ext cx="360000" cy="360000"/>
        </a:xfrm>
        <a:prstGeom prst="rect">
          <a:avLst/>
        </a:prstGeom>
      </xdr:spPr>
    </xdr:pic>
    <xdr:clientData/>
  </xdr:twoCellAnchor>
  <xdr:twoCellAnchor>
    <xdr:from>
      <xdr:col>7</xdr:col>
      <xdr:colOff>704850</xdr:colOff>
      <xdr:row>1</xdr:row>
      <xdr:rowOff>85725</xdr:rowOff>
    </xdr:from>
    <xdr:to>
      <xdr:col>7</xdr:col>
      <xdr:colOff>1152525</xdr:colOff>
      <xdr:row>3</xdr:row>
      <xdr:rowOff>57150</xdr:rowOff>
    </xdr:to>
    <xdr:sp macro="" textlink="">
      <xdr:nvSpPr>
        <xdr:cNvPr id="10" name="Up Arrow 9">
          <a:hlinkClick xmlns:r="http://schemas.openxmlformats.org/officeDocument/2006/relationships" r:id="rId6" tooltip="Back to top"/>
          <a:extLst>
            <a:ext uri="{FF2B5EF4-FFF2-40B4-BE49-F238E27FC236}">
              <a16:creationId xmlns:a16="http://schemas.microsoft.com/office/drawing/2014/main" id="{00000000-0008-0000-1100-00000A000000}"/>
            </a:ext>
          </a:extLst>
        </xdr:cNvPr>
        <xdr:cNvSpPr/>
      </xdr:nvSpPr>
      <xdr:spPr>
        <a:xfrm>
          <a:off x="8467725" y="40957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57150</xdr:colOff>
      <xdr:row>82</xdr:row>
      <xdr:rowOff>104775</xdr:rowOff>
    </xdr:from>
    <xdr:to>
      <xdr:col>1</xdr:col>
      <xdr:colOff>633150</xdr:colOff>
      <xdr:row>85</xdr:row>
      <xdr:rowOff>109275</xdr:rowOff>
    </xdr:to>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 y="18611850"/>
          <a:ext cx="576000" cy="576000"/>
        </a:xfrm>
        <a:prstGeom prst="rect">
          <a:avLst/>
        </a:prstGeom>
      </xdr:spPr>
    </xdr:pic>
    <xdr:clientData/>
  </xdr:twoCellAnchor>
  <xdr:twoCellAnchor editAs="oneCell">
    <xdr:from>
      <xdr:col>1</xdr:col>
      <xdr:colOff>9525</xdr:colOff>
      <xdr:row>77</xdr:row>
      <xdr:rowOff>104775</xdr:rowOff>
    </xdr:from>
    <xdr:to>
      <xdr:col>1</xdr:col>
      <xdr:colOff>405525</xdr:colOff>
      <xdr:row>79</xdr:row>
      <xdr:rowOff>119775</xdr:rowOff>
    </xdr:to>
    <xdr:pic>
      <xdr:nvPicPr>
        <xdr:cNvPr id="12" name="Picture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0" y="16706850"/>
          <a:ext cx="396000" cy="396000"/>
        </a:xfrm>
        <a:prstGeom prst="rect">
          <a:avLst/>
        </a:prstGeom>
      </xdr:spPr>
    </xdr:pic>
    <xdr:clientData/>
  </xdr:twoCellAnchor>
  <xdr:twoCellAnchor editAs="oneCell">
    <xdr:from>
      <xdr:col>1</xdr:col>
      <xdr:colOff>66675</xdr:colOff>
      <xdr:row>87</xdr:row>
      <xdr:rowOff>28575</xdr:rowOff>
    </xdr:from>
    <xdr:to>
      <xdr:col>1</xdr:col>
      <xdr:colOff>462675</xdr:colOff>
      <xdr:row>88</xdr:row>
      <xdr:rowOff>234075</xdr:rowOff>
    </xdr:to>
    <xdr:pic>
      <xdr:nvPicPr>
        <xdr:cNvPr id="13" name="Picture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800" y="19488150"/>
          <a:ext cx="396000" cy="396000"/>
        </a:xfrm>
        <a:prstGeom prst="rect">
          <a:avLst/>
        </a:prstGeom>
      </xdr:spPr>
    </xdr:pic>
    <xdr:clientData/>
  </xdr:twoCellAnchor>
  <xdr:oneCellAnchor>
    <xdr:from>
      <xdr:col>1</xdr:col>
      <xdr:colOff>66675</xdr:colOff>
      <xdr:row>93</xdr:row>
      <xdr:rowOff>47625</xdr:rowOff>
    </xdr:from>
    <xdr:ext cx="396000" cy="396000"/>
    <xdr:pic>
      <xdr:nvPicPr>
        <xdr:cNvPr id="14" name="Picture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4800" y="20745450"/>
          <a:ext cx="396000" cy="396000"/>
        </a:xfrm>
        <a:prstGeom prst="rect">
          <a:avLst/>
        </a:prstGeom>
      </xdr:spPr>
    </xdr:pic>
    <xdr:clientData/>
  </xdr:oneCellAnchor>
  <xdr:twoCellAnchor editAs="oneCell">
    <xdr:from>
      <xdr:col>1</xdr:col>
      <xdr:colOff>19051</xdr:colOff>
      <xdr:row>80</xdr:row>
      <xdr:rowOff>190500</xdr:rowOff>
    </xdr:from>
    <xdr:to>
      <xdr:col>1</xdr:col>
      <xdr:colOff>493717</xdr:colOff>
      <xdr:row>80</xdr:row>
      <xdr:rowOff>658500</xdr:rowOff>
    </xdr:to>
    <xdr:pic>
      <xdr:nvPicPr>
        <xdr:cNvPr id="15" name="Picture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7176" y="17668875"/>
          <a:ext cx="474666" cy="468000"/>
        </a:xfrm>
        <a:prstGeom prst="rect">
          <a:avLst/>
        </a:prstGeom>
      </xdr:spPr>
    </xdr:pic>
    <xdr:clientData/>
  </xdr:twoCellAnchor>
  <xdr:twoCellAnchor>
    <xdr:from>
      <xdr:col>5</xdr:col>
      <xdr:colOff>200024</xdr:colOff>
      <xdr:row>1</xdr:row>
      <xdr:rowOff>133350</xdr:rowOff>
    </xdr:from>
    <xdr:to>
      <xdr:col>6</xdr:col>
      <xdr:colOff>78899</xdr:colOff>
      <xdr:row>3</xdr:row>
      <xdr:rowOff>40350</xdr:rowOff>
    </xdr:to>
    <xdr:sp macro="" textlink="">
      <xdr:nvSpPr>
        <xdr:cNvPr id="16" name="Rectangle à coins arrondis 2">
          <a:hlinkClick xmlns:r="http://schemas.openxmlformats.org/officeDocument/2006/relationships" r:id="rId10" tooltip="Strategy A"/>
          <a:extLst>
            <a:ext uri="{FF2B5EF4-FFF2-40B4-BE49-F238E27FC236}">
              <a16:creationId xmlns:a16="http://schemas.microsoft.com/office/drawing/2014/main" id="{00000000-0008-0000-1100-000010000000}"/>
            </a:ext>
          </a:extLst>
        </xdr:cNvPr>
        <xdr:cNvSpPr>
          <a:spLocks noChangeArrowheads="1"/>
        </xdr:cNvSpPr>
      </xdr:nvSpPr>
      <xdr:spPr bwMode="auto">
        <a:xfrm>
          <a:off x="5286374" y="457200"/>
          <a:ext cx="126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6</xdr:col>
      <xdr:colOff>285748</xdr:colOff>
      <xdr:row>1</xdr:row>
      <xdr:rowOff>133350</xdr:rowOff>
    </xdr:from>
    <xdr:to>
      <xdr:col>7</xdr:col>
      <xdr:colOff>250348</xdr:colOff>
      <xdr:row>3</xdr:row>
      <xdr:rowOff>40350</xdr:rowOff>
    </xdr:to>
    <xdr:sp macro="" textlink="">
      <xdr:nvSpPr>
        <xdr:cNvPr id="17" name="Rectangle à coins arrondis 2">
          <a:hlinkClick xmlns:r="http://schemas.openxmlformats.org/officeDocument/2006/relationships" r:id="rId11" tooltip="Strategy B"/>
          <a:extLst>
            <a:ext uri="{FF2B5EF4-FFF2-40B4-BE49-F238E27FC236}">
              <a16:creationId xmlns:a16="http://schemas.microsoft.com/office/drawing/2014/main" id="{00000000-0008-0000-1100-000011000000}"/>
            </a:ext>
          </a:extLst>
        </xdr:cNvPr>
        <xdr:cNvSpPr>
          <a:spLocks noChangeArrowheads="1"/>
        </xdr:cNvSpPr>
      </xdr:nvSpPr>
      <xdr:spPr bwMode="auto">
        <a:xfrm>
          <a:off x="6753223" y="457200"/>
          <a:ext cx="126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editAs="oneCell">
    <xdr:from>
      <xdr:col>1</xdr:col>
      <xdr:colOff>47625</xdr:colOff>
      <xdr:row>89</xdr:row>
      <xdr:rowOff>152400</xdr:rowOff>
    </xdr:from>
    <xdr:to>
      <xdr:col>1</xdr:col>
      <xdr:colOff>479625</xdr:colOff>
      <xdr:row>92</xdr:row>
      <xdr:rowOff>12900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5750" y="20126325"/>
          <a:ext cx="432000" cy="43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28576</xdr:colOff>
      <xdr:row>0</xdr:row>
      <xdr:rowOff>47625</xdr:rowOff>
    </xdr:from>
    <xdr:to>
      <xdr:col>14</xdr:col>
      <xdr:colOff>498976</xdr:colOff>
      <xdr:row>0</xdr:row>
      <xdr:rowOff>335625</xdr:rowOff>
    </xdr:to>
    <xdr:sp macro="" textlink="">
      <xdr:nvSpPr>
        <xdr:cNvPr id="3" name="Rectangle à coins arrondis 2">
          <a:hlinkClick xmlns:r="http://schemas.openxmlformats.org/officeDocument/2006/relationships" r:id="rId1" tooltip="Scorecard"/>
          <a:extLst>
            <a:ext uri="{FF2B5EF4-FFF2-40B4-BE49-F238E27FC236}">
              <a16:creationId xmlns:a16="http://schemas.microsoft.com/office/drawing/2014/main" id="{00000000-0008-0000-0100-000003000000}"/>
            </a:ext>
          </a:extLst>
        </xdr:cNvPr>
        <xdr:cNvSpPr>
          <a:spLocks noChangeArrowheads="1"/>
        </xdr:cNvSpPr>
      </xdr:nvSpPr>
      <xdr:spPr bwMode="auto">
        <a:xfrm>
          <a:off x="7858126"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Scorecard</a:t>
          </a:r>
        </a:p>
      </xdr:txBody>
    </xdr:sp>
    <xdr:clientData/>
  </xdr:twoCellAnchor>
  <xdr:twoCellAnchor>
    <xdr:from>
      <xdr:col>11</xdr:col>
      <xdr:colOff>43924</xdr:colOff>
      <xdr:row>0</xdr:row>
      <xdr:rowOff>47625</xdr:rowOff>
    </xdr:from>
    <xdr:to>
      <xdr:col>12</xdr:col>
      <xdr:colOff>514324</xdr:colOff>
      <xdr:row>0</xdr:row>
      <xdr:rowOff>335625</xdr:rowOff>
    </xdr:to>
    <xdr:sp macro="" textlink="">
      <xdr:nvSpPr>
        <xdr:cNvPr id="4" name="Rectangle à coins arrondis 2">
          <a:hlinkClick xmlns:r="http://schemas.openxmlformats.org/officeDocument/2006/relationships" r:id="rId2" tooltip="Instructions"/>
          <a:extLst>
            <a:ext uri="{FF2B5EF4-FFF2-40B4-BE49-F238E27FC236}">
              <a16:creationId xmlns:a16="http://schemas.microsoft.com/office/drawing/2014/main" id="{00000000-0008-0000-0100-000004000000}"/>
            </a:ext>
          </a:extLst>
        </xdr:cNvPr>
        <xdr:cNvSpPr>
          <a:spLocks noChangeArrowheads="1"/>
        </xdr:cNvSpPr>
      </xdr:nvSpPr>
      <xdr:spPr bwMode="auto">
        <a:xfrm>
          <a:off x="6654274"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Instructions</a:t>
          </a:r>
        </a:p>
      </xdr:txBody>
    </xdr:sp>
    <xdr:clientData/>
  </xdr:twoCellAnchor>
  <xdr:twoCellAnchor>
    <xdr:from>
      <xdr:col>9</xdr:col>
      <xdr:colOff>228600</xdr:colOff>
      <xdr:row>0</xdr:row>
      <xdr:rowOff>47625</xdr:rowOff>
    </xdr:from>
    <xdr:to>
      <xdr:col>10</xdr:col>
      <xdr:colOff>699000</xdr:colOff>
      <xdr:row>0</xdr:row>
      <xdr:rowOff>335625</xdr:rowOff>
    </xdr:to>
    <xdr:sp macro="" textlink="">
      <xdr:nvSpPr>
        <xdr:cNvPr id="5" name="Rectangle à coins arrondis 2">
          <a:hlinkClick xmlns:r="http://schemas.openxmlformats.org/officeDocument/2006/relationships" r:id="rId3" tooltip="Introduction"/>
          <a:extLst>
            <a:ext uri="{FF2B5EF4-FFF2-40B4-BE49-F238E27FC236}">
              <a16:creationId xmlns:a16="http://schemas.microsoft.com/office/drawing/2014/main" id="{00000000-0008-0000-0100-000005000000}"/>
            </a:ext>
          </a:extLst>
        </xdr:cNvPr>
        <xdr:cNvSpPr>
          <a:spLocks noChangeArrowheads="1"/>
        </xdr:cNvSpPr>
      </xdr:nvSpPr>
      <xdr:spPr bwMode="auto">
        <a:xfrm>
          <a:off x="5448300"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Introduction</a:t>
          </a:r>
        </a:p>
      </xdr:txBody>
    </xdr:sp>
    <xdr:clientData/>
  </xdr:twoCellAnchor>
  <xdr:twoCellAnchor editAs="oneCell">
    <xdr:from>
      <xdr:col>1</xdr:col>
      <xdr:colOff>247650</xdr:colOff>
      <xdr:row>28</xdr:row>
      <xdr:rowOff>104775</xdr:rowOff>
    </xdr:from>
    <xdr:to>
      <xdr:col>3</xdr:col>
      <xdr:colOff>538350</xdr:colOff>
      <xdr:row>36</xdr:row>
      <xdr:rowOff>4950</xdr:rowOff>
    </xdr:to>
    <xdr:pic>
      <xdr:nvPicPr>
        <xdr:cNvPr id="36" name="Picture 35" descr="http://vgbc.org.vn/wp-content/uploads/2016/10/bci-asia-1.png">
          <a:hlinkClick xmlns:r="http://schemas.openxmlformats.org/officeDocument/2006/relationships" r:id="rId4"/>
          <a:extLst>
            <a:ext uri="{FF2B5EF4-FFF2-40B4-BE49-F238E27FC236}">
              <a16:creationId xmlns:a16="http://schemas.microsoft.com/office/drawing/2014/main" id="{00000000-0008-0000-0100-000024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415" t="1220" r="1415" b="1220"/>
        <a:stretch/>
      </xdr:blipFill>
      <xdr:spPr bwMode="auto">
        <a:xfrm>
          <a:off x="495300" y="7191375"/>
          <a:ext cx="1548000" cy="14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352425</xdr:colOff>
      <xdr:row>28</xdr:row>
      <xdr:rowOff>123825</xdr:rowOff>
    </xdr:from>
    <xdr:to>
      <xdr:col>7</xdr:col>
      <xdr:colOff>71625</xdr:colOff>
      <xdr:row>36</xdr:row>
      <xdr:rowOff>24000</xdr:rowOff>
    </xdr:to>
    <xdr:pic>
      <xdr:nvPicPr>
        <xdr:cNvPr id="44" name="Picture 43" descr="http://vgbc.org.vn/wp-content/uploads/2016/10/graphenstone.-e1488516524932.jpg">
          <a:hlinkClick xmlns:r="http://schemas.openxmlformats.org/officeDocument/2006/relationships" r:id="rId6"/>
          <a:extLst>
            <a:ext uri="{FF2B5EF4-FFF2-40B4-BE49-F238E27FC236}">
              <a16:creationId xmlns:a16="http://schemas.microsoft.com/office/drawing/2014/main" id="{00000000-0008-0000-0100-00002C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220" t="1220" r="1220" b="1220"/>
        <a:stretch/>
      </xdr:blipFill>
      <xdr:spPr bwMode="auto">
        <a:xfrm>
          <a:off x="2524125" y="7210425"/>
          <a:ext cx="1548000" cy="14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514350</xdr:colOff>
      <xdr:row>28</xdr:row>
      <xdr:rowOff>123825</xdr:rowOff>
    </xdr:from>
    <xdr:to>
      <xdr:col>10</xdr:col>
      <xdr:colOff>233550</xdr:colOff>
      <xdr:row>36</xdr:row>
      <xdr:rowOff>24000</xdr:rowOff>
    </xdr:to>
    <xdr:pic>
      <xdr:nvPicPr>
        <xdr:cNvPr id="46" name="Picture 45" descr="http://vgbc.org.vn/wp-content/uploads/2016/10/green-consult-asia-1.png">
          <a:hlinkClick xmlns:r="http://schemas.openxmlformats.org/officeDocument/2006/relationships" r:id="rId8"/>
          <a:extLst>
            <a:ext uri="{FF2B5EF4-FFF2-40B4-BE49-F238E27FC236}">
              <a16:creationId xmlns:a16="http://schemas.microsoft.com/office/drawing/2014/main" id="{00000000-0008-0000-0100-00002E00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220" t="1220" r="1220" b="1220"/>
        <a:stretch/>
      </xdr:blipFill>
      <xdr:spPr bwMode="auto">
        <a:xfrm>
          <a:off x="4514850" y="7210425"/>
          <a:ext cx="1548000" cy="14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35</xdr:row>
      <xdr:rowOff>85725</xdr:rowOff>
    </xdr:from>
    <xdr:to>
      <xdr:col>3</xdr:col>
      <xdr:colOff>509775</xdr:colOff>
      <xdr:row>43</xdr:row>
      <xdr:rowOff>109725</xdr:rowOff>
    </xdr:to>
    <xdr:pic>
      <xdr:nvPicPr>
        <xdr:cNvPr id="48" name="Picture 47" descr="http://vgbc.org.vn/wp-content/uploads/2016/10/gyproc-1.png">
          <a:hlinkClick xmlns:r="http://schemas.openxmlformats.org/officeDocument/2006/relationships" r:id="rId10"/>
          <a:extLst>
            <a:ext uri="{FF2B5EF4-FFF2-40B4-BE49-F238E27FC236}">
              <a16:creationId xmlns:a16="http://schemas.microsoft.com/office/drawing/2014/main" id="{00000000-0008-0000-0100-00003000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220" t="1220" r="1220" b="1220"/>
        <a:stretch/>
      </xdr:blipFill>
      <xdr:spPr bwMode="auto">
        <a:xfrm>
          <a:off x="466725" y="8467725"/>
          <a:ext cx="1548000" cy="1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xdr:colOff>
      <xdr:row>35</xdr:row>
      <xdr:rowOff>95250</xdr:rowOff>
    </xdr:from>
    <xdr:to>
      <xdr:col>7</xdr:col>
      <xdr:colOff>62100</xdr:colOff>
      <xdr:row>43</xdr:row>
      <xdr:rowOff>119250</xdr:rowOff>
    </xdr:to>
    <xdr:pic>
      <xdr:nvPicPr>
        <xdr:cNvPr id="51" name="Picture 50" descr="http://vgbc.org.vn/wp-content/uploads/2016/10/phuc-khang.png">
          <a:hlinkClick xmlns:r="http://schemas.openxmlformats.org/officeDocument/2006/relationships" r:id="rId12"/>
          <a:extLst>
            <a:ext uri="{FF2B5EF4-FFF2-40B4-BE49-F238E27FC236}">
              <a16:creationId xmlns:a16="http://schemas.microsoft.com/office/drawing/2014/main" id="{00000000-0008-0000-0100-00003300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1220" t="1220" r="1220" b="1220"/>
        <a:stretch/>
      </xdr:blipFill>
      <xdr:spPr bwMode="auto">
        <a:xfrm>
          <a:off x="2514600" y="8477250"/>
          <a:ext cx="1548000" cy="1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104772</xdr:colOff>
      <xdr:row>63</xdr:row>
      <xdr:rowOff>19049</xdr:rowOff>
    </xdr:from>
    <xdr:to>
      <xdr:col>3</xdr:col>
      <xdr:colOff>230181</xdr:colOff>
      <xdr:row>69</xdr:row>
      <xdr:rowOff>167849</xdr:rowOff>
    </xdr:to>
    <xdr:pic>
      <xdr:nvPicPr>
        <xdr:cNvPr id="52" name="Picture 50" descr="http://vgbc.org.vn/wp-content/uploads/2016/10/vicostone-1.png">
          <a:hlinkClick xmlns:r="http://schemas.openxmlformats.org/officeDocument/2006/relationships" r:id="rId14"/>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1990" t="1967" r="1990" b="1967"/>
        <a:stretch>
          <a:fillRect/>
        </a:stretch>
      </xdr:blipFill>
      <xdr:spPr bwMode="auto">
        <a:xfrm>
          <a:off x="352422" y="13592174"/>
          <a:ext cx="1382709" cy="13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600074</xdr:colOff>
      <xdr:row>63</xdr:row>
      <xdr:rowOff>161924</xdr:rowOff>
    </xdr:from>
    <xdr:to>
      <xdr:col>5</xdr:col>
      <xdr:colOff>492086</xdr:colOff>
      <xdr:row>69</xdr:row>
      <xdr:rowOff>94724</xdr:rowOff>
    </xdr:to>
    <xdr:pic>
      <xdr:nvPicPr>
        <xdr:cNvPr id="53" name="Picture 51" descr="http://vgbc.org.vn/wp-content/uploads/2016/10/vilandco-1-e1476344593461.png">
          <a:hlinkClick xmlns:r="http://schemas.openxmlformats.org/officeDocument/2006/relationships" r:id="rId16"/>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1990" t="1967" r="1990" b="1967"/>
        <a:stretch>
          <a:fillRect/>
        </a:stretch>
      </xdr:blipFill>
      <xdr:spPr bwMode="auto">
        <a:xfrm>
          <a:off x="2105024" y="13735049"/>
          <a:ext cx="1168362"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104770</xdr:colOff>
      <xdr:row>47</xdr:row>
      <xdr:rowOff>0</xdr:rowOff>
    </xdr:from>
    <xdr:to>
      <xdr:col>2</xdr:col>
      <xdr:colOff>548680</xdr:colOff>
      <xdr:row>52</xdr:row>
      <xdr:rowOff>89400</xdr:rowOff>
    </xdr:to>
    <xdr:pic>
      <xdr:nvPicPr>
        <xdr:cNvPr id="54" name="Picture 43" descr="http://vgbc.org.vn/wp-content/uploads/2016/09/ACSC.png">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1990" t="1967" r="1990" b="1967"/>
        <a:stretch>
          <a:fillRect/>
        </a:stretch>
      </xdr:blipFill>
      <xdr:spPr bwMode="auto">
        <a:xfrm>
          <a:off x="352420" y="10525125"/>
          <a:ext cx="1091610" cy="104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342900</xdr:colOff>
      <xdr:row>46</xdr:row>
      <xdr:rowOff>66675</xdr:rowOff>
    </xdr:from>
    <xdr:to>
      <xdr:col>11</xdr:col>
      <xdr:colOff>183691</xdr:colOff>
      <xdr:row>52</xdr:row>
      <xdr:rowOff>149775</xdr:rowOff>
    </xdr:to>
    <xdr:pic>
      <xdr:nvPicPr>
        <xdr:cNvPr id="56" name="Picture 47" descr="http://vgbc.org.vn/wp-content/uploads/2016/10/bluescope-1.png">
          <a:hlinkClick xmlns:r="http://schemas.openxmlformats.org/officeDocument/2006/relationships" r:id="rId19"/>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990" t="1967" r="1990" b="1967"/>
        <a:stretch>
          <a:fillRect/>
        </a:stretch>
      </xdr:blipFill>
      <xdr:spPr bwMode="auto">
        <a:xfrm>
          <a:off x="5562600" y="10439400"/>
          <a:ext cx="1231441"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200025</xdr:colOff>
      <xdr:row>51</xdr:row>
      <xdr:rowOff>57150</xdr:rowOff>
    </xdr:from>
    <xdr:to>
      <xdr:col>3</xdr:col>
      <xdr:colOff>174166</xdr:colOff>
      <xdr:row>57</xdr:row>
      <xdr:rowOff>102150</xdr:rowOff>
    </xdr:to>
    <xdr:pic>
      <xdr:nvPicPr>
        <xdr:cNvPr id="57" name="Picture 45" descr="http://vgbc.org.vn/wp-content/uploads/2016/10/green-viet.png">
          <a:hlinkClick xmlns:r="http://schemas.openxmlformats.org/officeDocument/2006/relationships" r:id="rId21"/>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1990" t="1967" r="1990" b="1967"/>
        <a:stretch>
          <a:fillRect/>
        </a:stretch>
      </xdr:blipFill>
      <xdr:spPr bwMode="auto">
        <a:xfrm>
          <a:off x="447675" y="11344275"/>
          <a:ext cx="1231441"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57</xdr:row>
      <xdr:rowOff>9524</xdr:rowOff>
    </xdr:from>
    <xdr:to>
      <xdr:col>3</xdr:col>
      <xdr:colOff>246695</xdr:colOff>
      <xdr:row>64</xdr:row>
      <xdr:rowOff>0</xdr:rowOff>
    </xdr:to>
    <xdr:pic>
      <xdr:nvPicPr>
        <xdr:cNvPr id="58" name="Picture 25" descr="http://vgbc.org.vn/wp-content/uploads/2016/09/Searefico.png">
          <a:hlinkClick xmlns:r="http://schemas.openxmlformats.org/officeDocument/2006/relationships" r:id="rId23"/>
          <a:extLst>
            <a:ext uri="{FF2B5EF4-FFF2-40B4-BE49-F238E27FC236}">
              <a16:creationId xmlns:a16="http://schemas.microsoft.com/office/drawing/2014/main" id="{00000000-0008-0000-0100-00003A000000}"/>
            </a:ext>
          </a:extLst>
        </xdr:cNvPr>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l="858" t="842" r="858" b="4006"/>
        <a:stretch/>
      </xdr:blipFill>
      <xdr:spPr bwMode="auto">
        <a:xfrm>
          <a:off x="371475" y="12439649"/>
          <a:ext cx="1380170" cy="1323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552450</xdr:colOff>
      <xdr:row>57</xdr:row>
      <xdr:rowOff>171449</xdr:rowOff>
    </xdr:from>
    <xdr:to>
      <xdr:col>8</xdr:col>
      <xdr:colOff>386540</xdr:colOff>
      <xdr:row>63</xdr:row>
      <xdr:rowOff>72449</xdr:rowOff>
    </xdr:to>
    <xdr:pic>
      <xdr:nvPicPr>
        <xdr:cNvPr id="59" name="Picture 54" descr="http://vgbc.org.vn/wp-content/uploads/2016/10/spcc-e1476344764303.png">
          <a:hlinkClick xmlns:r="http://schemas.openxmlformats.org/officeDocument/2006/relationships" r:id="rId25"/>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1990" t="1967" r="1990" b="1967"/>
        <a:stretch>
          <a:fillRect/>
        </a:stretch>
      </xdr:blipFill>
      <xdr:spPr bwMode="auto">
        <a:xfrm>
          <a:off x="3943350" y="12601574"/>
          <a:ext cx="1053290" cy="10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619125</xdr:colOff>
      <xdr:row>57</xdr:row>
      <xdr:rowOff>104774</xdr:rowOff>
    </xdr:from>
    <xdr:to>
      <xdr:col>5</xdr:col>
      <xdr:colOff>468705</xdr:colOff>
      <xdr:row>63</xdr:row>
      <xdr:rowOff>77774</xdr:rowOff>
    </xdr:to>
    <xdr:pic>
      <xdr:nvPicPr>
        <xdr:cNvPr id="60" name="Picture 53" descr="http://vgbc.org.vn/wp-content/uploads/2016/10/sika-e1476344838533.png">
          <a:hlinkClick xmlns:r="http://schemas.openxmlformats.org/officeDocument/2006/relationships" r:id="rId2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1990" t="1967" r="1990" b="1967"/>
        <a:stretch>
          <a:fillRect/>
        </a:stretch>
      </xdr:blipFill>
      <xdr:spPr bwMode="auto">
        <a:xfrm>
          <a:off x="2124075" y="12534899"/>
          <a:ext cx="1125930" cy="11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152399</xdr:colOff>
      <xdr:row>72</xdr:row>
      <xdr:rowOff>47624</xdr:rowOff>
    </xdr:from>
    <xdr:to>
      <xdr:col>2</xdr:col>
      <xdr:colOff>512699</xdr:colOff>
      <xdr:row>77</xdr:row>
      <xdr:rowOff>103124</xdr:rowOff>
    </xdr:to>
    <xdr:pic>
      <xdr:nvPicPr>
        <xdr:cNvPr id="61" name="Picture 7" descr="artelia">
          <a:hlinkClick xmlns:r="http://schemas.openxmlformats.org/officeDocument/2006/relationships" r:id="rId29"/>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2130" t="2139" r="2130" b="2139"/>
        <a:stretch>
          <a:fillRect/>
        </a:stretch>
      </xdr:blipFill>
      <xdr:spPr bwMode="auto">
        <a:xfrm>
          <a:off x="400049" y="15420974"/>
          <a:ext cx="1008000"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381000</xdr:colOff>
      <xdr:row>72</xdr:row>
      <xdr:rowOff>152399</xdr:rowOff>
    </xdr:from>
    <xdr:to>
      <xdr:col>4</xdr:col>
      <xdr:colOff>598128</xdr:colOff>
      <xdr:row>77</xdr:row>
      <xdr:rowOff>63899</xdr:rowOff>
    </xdr:to>
    <xdr:pic>
      <xdr:nvPicPr>
        <xdr:cNvPr id="62" name="Picture 69" descr="http://vgbc.org.vn/wp-content/uploads/2016/10/boydens-1-e1476344905983.png">
          <a:hlinkClick xmlns:r="http://schemas.openxmlformats.org/officeDocument/2006/relationships" r:id="rId31"/>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l="2359" t="2322" r="2359" b="2322"/>
        <a:stretch>
          <a:fillRect/>
        </a:stretch>
      </xdr:blipFill>
      <xdr:spPr bwMode="auto">
        <a:xfrm>
          <a:off x="1885950" y="15525749"/>
          <a:ext cx="883878"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495298</xdr:colOff>
      <xdr:row>72</xdr:row>
      <xdr:rowOff>95249</xdr:rowOff>
    </xdr:from>
    <xdr:to>
      <xdr:col>7</xdr:col>
      <xdr:colOff>313084</xdr:colOff>
      <xdr:row>77</xdr:row>
      <xdr:rowOff>150749</xdr:rowOff>
    </xdr:to>
    <xdr:pic>
      <xdr:nvPicPr>
        <xdr:cNvPr id="63" name="Picture 17" descr="http://vgbc.org.vn/wp-content/uploads/2017/03/bumatech.jpg">
          <a:hlinkClick xmlns:r="http://schemas.openxmlformats.org/officeDocument/2006/relationships" r:id="rId33"/>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l="858" t="842" r="858" b="842"/>
        <a:stretch>
          <a:fillRect/>
        </a:stretch>
      </xdr:blipFill>
      <xdr:spPr bwMode="auto">
        <a:xfrm>
          <a:off x="3276598" y="15468599"/>
          <a:ext cx="1036986"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152399</xdr:colOff>
      <xdr:row>72</xdr:row>
      <xdr:rowOff>142875</xdr:rowOff>
    </xdr:from>
    <xdr:to>
      <xdr:col>13</xdr:col>
      <xdr:colOff>417979</xdr:colOff>
      <xdr:row>77</xdr:row>
      <xdr:rowOff>54375</xdr:rowOff>
    </xdr:to>
    <xdr:pic>
      <xdr:nvPicPr>
        <xdr:cNvPr id="64" name="Picture 66" descr="http://vgbc.org.vn/wp-content/uploads/2016/10/grundfos-1.png">
          <a:hlinkClick xmlns:r="http://schemas.openxmlformats.org/officeDocument/2006/relationships" r:id="rId35"/>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2322" t="2359" r="2322" b="2359"/>
        <a:stretch>
          <a:fillRect/>
        </a:stretch>
      </xdr:blipFill>
      <xdr:spPr bwMode="auto">
        <a:xfrm>
          <a:off x="7372349" y="15516225"/>
          <a:ext cx="875180"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180974</xdr:colOff>
      <xdr:row>77</xdr:row>
      <xdr:rowOff>161925</xdr:rowOff>
    </xdr:from>
    <xdr:to>
      <xdr:col>2</xdr:col>
      <xdr:colOff>547691</xdr:colOff>
      <xdr:row>83</xdr:row>
      <xdr:rowOff>26925</xdr:rowOff>
    </xdr:to>
    <xdr:pic>
      <xdr:nvPicPr>
        <xdr:cNvPr id="65" name="Picture 48" descr="http://vgbc.org.vn/wp-content/uploads/2016/10/kone-e1476344870624.png">
          <a:hlinkClick xmlns:r="http://schemas.openxmlformats.org/officeDocument/2006/relationships" r:id="rId37"/>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l="1990" t="1967" r="1990" b="1967"/>
        <a:stretch>
          <a:fillRect/>
        </a:stretch>
      </xdr:blipFill>
      <xdr:spPr bwMode="auto">
        <a:xfrm>
          <a:off x="428624" y="16487775"/>
          <a:ext cx="1014417"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xdr:colOff>
      <xdr:row>83</xdr:row>
      <xdr:rowOff>57149</xdr:rowOff>
    </xdr:from>
    <xdr:to>
      <xdr:col>7</xdr:col>
      <xdr:colOff>234459</xdr:colOff>
      <xdr:row>87</xdr:row>
      <xdr:rowOff>123149</xdr:rowOff>
    </xdr:to>
    <xdr:pic>
      <xdr:nvPicPr>
        <xdr:cNvPr id="66" name="Picture 68" descr="http://vgbc.org.vn/wp-content/uploads/2016/12/SHING-DA.png">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l="2322" t="2359" r="2322" b="2359"/>
        <a:stretch>
          <a:fillRect/>
        </a:stretch>
      </xdr:blipFill>
      <xdr:spPr bwMode="auto">
        <a:xfrm>
          <a:off x="3400425" y="17525999"/>
          <a:ext cx="834534" cy="8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314323</xdr:colOff>
      <xdr:row>77</xdr:row>
      <xdr:rowOff>180975</xdr:rowOff>
    </xdr:from>
    <xdr:to>
      <xdr:col>5</xdr:col>
      <xdr:colOff>52389</xdr:colOff>
      <xdr:row>83</xdr:row>
      <xdr:rowOff>45975</xdr:rowOff>
    </xdr:to>
    <xdr:pic>
      <xdr:nvPicPr>
        <xdr:cNvPr id="67" name="Picture 67" descr="http://vgbc.org.vn/wp-content/uploads/2016/10/pce-e1476345277864.png">
          <a:hlinkClick xmlns:r="http://schemas.openxmlformats.org/officeDocument/2006/relationships" r:id="rId40"/>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l="2322" t="2359" r="2322" b="2359"/>
        <a:stretch>
          <a:fillRect/>
        </a:stretch>
      </xdr:blipFill>
      <xdr:spPr bwMode="auto">
        <a:xfrm>
          <a:off x="1819273" y="16506825"/>
          <a:ext cx="1014416"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466722</xdr:colOff>
      <xdr:row>77</xdr:row>
      <xdr:rowOff>142875</xdr:rowOff>
    </xdr:from>
    <xdr:to>
      <xdr:col>7</xdr:col>
      <xdr:colOff>349991</xdr:colOff>
      <xdr:row>83</xdr:row>
      <xdr:rowOff>0</xdr:rowOff>
    </xdr:to>
    <xdr:pic>
      <xdr:nvPicPr>
        <xdr:cNvPr id="68" name="Picture 38" descr="http://vgbc.org.vn/wp-content/uploads/2017/03/PGF_logo.png">
          <a:hlinkClick xmlns:r="http://schemas.openxmlformats.org/officeDocument/2006/relationships" r:id="rId42"/>
          <a:extLst>
            <a:ext uri="{FF2B5EF4-FFF2-40B4-BE49-F238E27FC236}">
              <a16:creationId xmlns:a16="http://schemas.microsoft.com/office/drawing/2014/main" id="{00000000-0008-0000-0100-000044000000}"/>
            </a:ext>
          </a:extLst>
        </xdr:cNvPr>
        <xdr:cNvPicPr>
          <a:picLocks noChangeAspect="1" noChangeArrowheads="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l="1585" t="1599" r="1585" b="8758"/>
        <a:stretch/>
      </xdr:blipFill>
      <xdr:spPr bwMode="auto">
        <a:xfrm>
          <a:off x="3248022" y="16468725"/>
          <a:ext cx="1102469"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142875</xdr:colOff>
      <xdr:row>78</xdr:row>
      <xdr:rowOff>19050</xdr:rowOff>
    </xdr:from>
    <xdr:to>
      <xdr:col>9</xdr:col>
      <xdr:colOff>505275</xdr:colOff>
      <xdr:row>83</xdr:row>
      <xdr:rowOff>38550</xdr:rowOff>
    </xdr:to>
    <xdr:pic>
      <xdr:nvPicPr>
        <xdr:cNvPr id="69" name="Picture 68" descr="http://vgbc.org.vn/wp-content/uploads/2017/04/PTW.jpg">
          <a:hlinkClick xmlns:r="http://schemas.openxmlformats.org/officeDocument/2006/relationships" r:id="rId44"/>
          <a:extLst>
            <a:ext uri="{FF2B5EF4-FFF2-40B4-BE49-F238E27FC236}">
              <a16:creationId xmlns:a16="http://schemas.microsoft.com/office/drawing/2014/main" id="{00000000-0008-0000-0100-000045000000}"/>
            </a:ext>
          </a:extLst>
        </xdr:cNvPr>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2174" t="2174" r="2174" b="2174"/>
        <a:stretch/>
      </xdr:blipFill>
      <xdr:spPr bwMode="auto">
        <a:xfrm>
          <a:off x="4752975" y="16535400"/>
          <a:ext cx="972000" cy="9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82</xdr:row>
      <xdr:rowOff>123825</xdr:rowOff>
    </xdr:from>
    <xdr:to>
      <xdr:col>2</xdr:col>
      <xdr:colOff>541275</xdr:colOff>
      <xdr:row>87</xdr:row>
      <xdr:rowOff>179325</xdr:rowOff>
    </xdr:to>
    <xdr:pic>
      <xdr:nvPicPr>
        <xdr:cNvPr id="70" name="Picture 69" descr="http://vgbc.org.vn/wp-content/uploads/2017/04/tanphatlong.jpg">
          <a:hlinkClick xmlns:r="http://schemas.openxmlformats.org/officeDocument/2006/relationships" r:id="rId46"/>
          <a:extLst>
            <a:ext uri="{FF2B5EF4-FFF2-40B4-BE49-F238E27FC236}">
              <a16:creationId xmlns:a16="http://schemas.microsoft.com/office/drawing/2014/main" id="{00000000-0008-0000-0100-000046000000}"/>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2174" t="2174" r="2174" b="2174"/>
        <a:stretch/>
      </xdr:blipFill>
      <xdr:spPr bwMode="auto">
        <a:xfrm>
          <a:off x="428625" y="17402175"/>
          <a:ext cx="1008000"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333375</xdr:colOff>
      <xdr:row>57</xdr:row>
      <xdr:rowOff>85725</xdr:rowOff>
    </xdr:from>
    <xdr:to>
      <xdr:col>11</xdr:col>
      <xdr:colOff>202725</xdr:colOff>
      <xdr:row>64</xdr:row>
      <xdr:rowOff>12225</xdr:rowOff>
    </xdr:to>
    <xdr:pic>
      <xdr:nvPicPr>
        <xdr:cNvPr id="71" name="Picture 52" descr="http://vgbc.org.vn/wp-content/uploads/2016/10/trane-e1476344986148.png">
          <a:hlinkClick xmlns:r="http://schemas.openxmlformats.org/officeDocument/2006/relationships" r:id="rId4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l="1990" t="1967" r="1990" b="1967"/>
        <a:stretch>
          <a:fillRect/>
        </a:stretch>
      </xdr:blipFill>
      <xdr:spPr bwMode="auto">
        <a:xfrm>
          <a:off x="5553075" y="12515850"/>
          <a:ext cx="126000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542926</xdr:colOff>
      <xdr:row>58</xdr:row>
      <xdr:rowOff>9524</xdr:rowOff>
    </xdr:from>
    <xdr:to>
      <xdr:col>13</xdr:col>
      <xdr:colOff>378952</xdr:colOff>
      <xdr:row>63</xdr:row>
      <xdr:rowOff>101024</xdr:rowOff>
    </xdr:to>
    <xdr:pic>
      <xdr:nvPicPr>
        <xdr:cNvPr id="72" name="Picture 55" descr="http://vgbc.org.vn/wp-content/uploads/2016/10/undp-e1476344646547.png">
          <a:hlinkClick xmlns:r="http://schemas.openxmlformats.org/officeDocument/2006/relationships" r:id="rId50"/>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l="1990" t="1967" r="1990" b="1967"/>
        <a:stretch>
          <a:fillRect/>
        </a:stretch>
      </xdr:blipFill>
      <xdr:spPr bwMode="auto">
        <a:xfrm>
          <a:off x="7153276" y="12630149"/>
          <a:ext cx="1055226" cy="10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133345</xdr:colOff>
      <xdr:row>46</xdr:row>
      <xdr:rowOff>9525</xdr:rowOff>
    </xdr:from>
    <xdr:to>
      <xdr:col>3</xdr:col>
      <xdr:colOff>120727</xdr:colOff>
      <xdr:row>52</xdr:row>
      <xdr:rowOff>92625</xdr:rowOff>
    </xdr:to>
    <xdr:pic>
      <xdr:nvPicPr>
        <xdr:cNvPr id="73" name="Picture 43" descr="http://vgbc.org.vn/wp-content/uploads/2016/09/ACSC.png">
          <a:hlinkClick xmlns:r="http://schemas.openxmlformats.org/officeDocument/2006/relationships" r:id="rId52"/>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1990" t="1967" r="1990" b="1967"/>
        <a:stretch>
          <a:fillRect/>
        </a:stretch>
      </xdr:blipFill>
      <xdr:spPr bwMode="auto">
        <a:xfrm>
          <a:off x="380995" y="10382250"/>
          <a:ext cx="1244682"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561975</xdr:colOff>
      <xdr:row>46</xdr:row>
      <xdr:rowOff>19050</xdr:rowOff>
    </xdr:from>
    <xdr:to>
      <xdr:col>5</xdr:col>
      <xdr:colOff>517066</xdr:colOff>
      <xdr:row>52</xdr:row>
      <xdr:rowOff>102150</xdr:rowOff>
    </xdr:to>
    <xdr:pic>
      <xdr:nvPicPr>
        <xdr:cNvPr id="74" name="Picture 46" descr="http://vgbc.org.vn/wp-content/uploads/2016/10/basf.png">
          <a:hlinkClick xmlns:r="http://schemas.openxmlformats.org/officeDocument/2006/relationships" r:id="rId53"/>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l="1990" t="1967" r="1990" b="1967"/>
        <a:stretch>
          <a:fillRect/>
        </a:stretch>
      </xdr:blipFill>
      <xdr:spPr bwMode="auto">
        <a:xfrm>
          <a:off x="2066925" y="10391775"/>
          <a:ext cx="1231441"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657225</xdr:colOff>
      <xdr:row>51</xdr:row>
      <xdr:rowOff>190499</xdr:rowOff>
    </xdr:from>
    <xdr:to>
      <xdr:col>5</xdr:col>
      <xdr:colOff>361525</xdr:colOff>
      <xdr:row>57</xdr:row>
      <xdr:rowOff>19499</xdr:rowOff>
    </xdr:to>
    <xdr:pic>
      <xdr:nvPicPr>
        <xdr:cNvPr id="75" name="Picture 40" descr="http://vgbc.org.vn/wp-content/uploads/2016/10/ies-e1476344408984.png">
          <a:hlinkClick xmlns:r="http://schemas.openxmlformats.org/officeDocument/2006/relationships" r:id="rId55"/>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l="1990" t="1967" r="1990" b="1967"/>
        <a:stretch>
          <a:fillRect/>
        </a:stretch>
      </xdr:blipFill>
      <xdr:spPr bwMode="auto">
        <a:xfrm>
          <a:off x="2162175" y="11477624"/>
          <a:ext cx="980650" cy="9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352425</xdr:colOff>
      <xdr:row>51</xdr:row>
      <xdr:rowOff>180974</xdr:rowOff>
    </xdr:from>
    <xdr:to>
      <xdr:col>11</xdr:col>
      <xdr:colOff>124025</xdr:colOff>
      <xdr:row>57</xdr:row>
      <xdr:rowOff>189974</xdr:rowOff>
    </xdr:to>
    <xdr:pic>
      <xdr:nvPicPr>
        <xdr:cNvPr id="76" name="Picture 41" descr="http://vgbc.org.vn/wp-content/uploads/2016/10/ree.png">
          <a:hlinkClick xmlns:r="http://schemas.openxmlformats.org/officeDocument/2006/relationships" r:id="rId57"/>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l="1990" t="1967" r="1990" b="1967"/>
        <a:stretch>
          <a:fillRect/>
        </a:stretch>
      </xdr:blipFill>
      <xdr:spPr bwMode="auto">
        <a:xfrm>
          <a:off x="5572125" y="11468099"/>
          <a:ext cx="1162250"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323850</xdr:colOff>
      <xdr:row>51</xdr:row>
      <xdr:rowOff>95249</xdr:rowOff>
    </xdr:from>
    <xdr:to>
      <xdr:col>13</xdr:col>
      <xdr:colOff>484820</xdr:colOff>
      <xdr:row>58</xdr:row>
      <xdr:rowOff>21749</xdr:rowOff>
    </xdr:to>
    <xdr:pic>
      <xdr:nvPicPr>
        <xdr:cNvPr id="77" name="Picture 27" descr="http://vgbc.org.vn/wp-content/uploads/2016/10/royal-haskoningDHV.png">
          <a:hlinkClick xmlns:r="http://schemas.openxmlformats.org/officeDocument/2006/relationships" r:id="rId59"/>
          <a:extLst>
            <a:ext uri="{FF2B5EF4-FFF2-40B4-BE49-F238E27FC236}">
              <a16:creationId xmlns:a16="http://schemas.microsoft.com/office/drawing/2014/main" id="{00000000-0008-0000-0100-00004D000000}"/>
            </a:ext>
          </a:extLst>
        </xdr:cNvPr>
        <xdr:cNvPicPr>
          <a:picLocks noChangeAspect="1" noChangeArrowheads="1"/>
        </xdr:cNvPicPr>
      </xdr:nvPicPr>
      <xdr:blipFill rotWithShape="1">
        <a:blip xmlns:r="http://schemas.openxmlformats.org/officeDocument/2006/relationships" r:embed="rId60">
          <a:extLst>
            <a:ext uri="{28A0092B-C50C-407E-A947-70E740481C1C}">
              <a14:useLocalDpi xmlns:a14="http://schemas.microsoft.com/office/drawing/2010/main" val="0"/>
            </a:ext>
          </a:extLst>
        </a:blip>
        <a:srcRect l="858" t="4722" r="858" b="4722"/>
        <a:stretch/>
      </xdr:blipFill>
      <xdr:spPr bwMode="auto">
        <a:xfrm>
          <a:off x="6934200" y="11382374"/>
          <a:ext cx="138017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209550</xdr:colOff>
      <xdr:row>78</xdr:row>
      <xdr:rowOff>28575</xdr:rowOff>
    </xdr:from>
    <xdr:to>
      <xdr:col>11</xdr:col>
      <xdr:colOff>436500</xdr:colOff>
      <xdr:row>83</xdr:row>
      <xdr:rowOff>84075</xdr:rowOff>
    </xdr:to>
    <xdr:pic>
      <xdr:nvPicPr>
        <xdr:cNvPr id="78" name="Picture 77" descr="http://vgbc.org.vn/wp-content/uploads/2017/04/Seas-Consultants.png">
          <a:hlinkClick xmlns:r="http://schemas.openxmlformats.org/officeDocument/2006/relationships" r:id="rId61"/>
          <a:extLst>
            <a:ext uri="{FF2B5EF4-FFF2-40B4-BE49-F238E27FC236}">
              <a16:creationId xmlns:a16="http://schemas.microsoft.com/office/drawing/2014/main" id="{00000000-0008-0000-0100-00004E000000}"/>
            </a:ext>
          </a:extLst>
        </xdr:cNvPr>
        <xdr:cNvPicPr>
          <a:picLocks noChangeAspect="1" noChangeArrowheads="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l="865" t="865" r="865" b="865"/>
        <a:stretch/>
      </xdr:blipFill>
      <xdr:spPr bwMode="auto">
        <a:xfrm>
          <a:off x="6038850" y="16544925"/>
          <a:ext cx="1008000"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295274</xdr:colOff>
      <xdr:row>52</xdr:row>
      <xdr:rowOff>0</xdr:rowOff>
    </xdr:from>
    <xdr:to>
      <xdr:col>8</xdr:col>
      <xdr:colOff>573834</xdr:colOff>
      <xdr:row>57</xdr:row>
      <xdr:rowOff>163500</xdr:rowOff>
    </xdr:to>
    <xdr:pic>
      <xdr:nvPicPr>
        <xdr:cNvPr id="79" name="Picture 78" descr="http://vgbc.org.vn/wp-content/uploads/2017/05/SiamCityCement.jpg">
          <a:extLst>
            <a:ext uri="{FF2B5EF4-FFF2-40B4-BE49-F238E27FC236}">
              <a16:creationId xmlns:a16="http://schemas.microsoft.com/office/drawing/2014/main" id="{00000000-0008-0000-0100-00004F000000}"/>
            </a:ext>
          </a:extLst>
        </xdr:cNvPr>
        <xdr:cNvPicPr>
          <a:picLocks noChangeAspect="1"/>
        </xdr:cNvPicPr>
      </xdr:nvPicPr>
      <xdr:blipFill rotWithShape="1">
        <a:blip xmlns:r="http://schemas.openxmlformats.org/officeDocument/2006/relationships" r:embed="rId63">
          <a:extLst>
            <a:ext uri="{28A0092B-C50C-407E-A947-70E740481C1C}">
              <a14:useLocalDpi xmlns:a14="http://schemas.microsoft.com/office/drawing/2010/main" val="0"/>
            </a:ext>
          </a:extLst>
        </a:blip>
        <a:srcRect l="856" t="13383" r="856" b="13383"/>
        <a:stretch/>
      </xdr:blipFill>
      <xdr:spPr bwMode="auto">
        <a:xfrm>
          <a:off x="3686174" y="11477625"/>
          <a:ext cx="1497760" cy="1116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476251</xdr:colOff>
      <xdr:row>46</xdr:row>
      <xdr:rowOff>28574</xdr:rowOff>
    </xdr:from>
    <xdr:to>
      <xdr:col>13</xdr:col>
      <xdr:colOff>444212</xdr:colOff>
      <xdr:row>51</xdr:row>
      <xdr:rowOff>149774</xdr:rowOff>
    </xdr:to>
    <xdr:pic>
      <xdr:nvPicPr>
        <xdr:cNvPr id="80" name="Picture 79" descr="http://vgbc.org.vn/wp-content/uploads/2016/10/carrier-1-e1476344799934.png">
          <a:extLst>
            <a:ext uri="{FF2B5EF4-FFF2-40B4-BE49-F238E27FC236}">
              <a16:creationId xmlns:a16="http://schemas.microsoft.com/office/drawing/2014/main" id="{00000000-0008-0000-0100-000050000000}"/>
            </a:ext>
          </a:extLst>
        </xdr:cNvPr>
        <xdr:cNvPicPr>
          <a:picLocks noChangeAspect="1"/>
        </xdr:cNvPicPr>
      </xdr:nvPicPr>
      <xdr:blipFill rotWithShape="1">
        <a:blip xmlns:r="http://schemas.openxmlformats.org/officeDocument/2006/relationships" r:embed="rId64" cstate="print">
          <a:extLst>
            <a:ext uri="{28A0092B-C50C-407E-A947-70E740481C1C}">
              <a14:useLocalDpi xmlns:a14="http://schemas.microsoft.com/office/drawing/2010/main" val="0"/>
            </a:ext>
          </a:extLst>
        </a:blip>
        <a:srcRect l="856" t="843" r="856" b="843"/>
        <a:stretch/>
      </xdr:blipFill>
      <xdr:spPr bwMode="auto">
        <a:xfrm>
          <a:off x="7086601" y="10401299"/>
          <a:ext cx="1187161" cy="1073700"/>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161925</xdr:colOff>
      <xdr:row>72</xdr:row>
      <xdr:rowOff>114300</xdr:rowOff>
    </xdr:from>
    <xdr:to>
      <xdr:col>11</xdr:col>
      <xdr:colOff>460875</xdr:colOff>
      <xdr:row>78</xdr:row>
      <xdr:rowOff>13200</xdr:rowOff>
    </xdr:to>
    <xdr:pic>
      <xdr:nvPicPr>
        <xdr:cNvPr id="81" name="Picture 39" descr="http://vgbc.org.vn/wp-content/uploads/2016/10/hongkong-land-e1476344339688.png">
          <a:hlinkClick xmlns:r="http://schemas.openxmlformats.org/officeDocument/2006/relationships" r:id="rId65"/>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l="1990" t="1967" r="1990" b="1967"/>
        <a:stretch>
          <a:fillRect/>
        </a:stretch>
      </xdr:blipFill>
      <xdr:spPr bwMode="auto">
        <a:xfrm>
          <a:off x="5991225" y="15487650"/>
          <a:ext cx="1080000" cy="104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523875</xdr:colOff>
      <xdr:row>46</xdr:row>
      <xdr:rowOff>66674</xdr:rowOff>
    </xdr:from>
    <xdr:to>
      <xdr:col>8</xdr:col>
      <xdr:colOff>456675</xdr:colOff>
      <xdr:row>51</xdr:row>
      <xdr:rowOff>189974</xdr:rowOff>
    </xdr:to>
    <xdr:pic>
      <xdr:nvPicPr>
        <xdr:cNvPr id="82" name="Picture 81" descr="http://vgbc.org.vn/wp-content/uploads/2016/09/belimo.jpg">
          <a:extLst>
            <a:ext uri="{FF2B5EF4-FFF2-40B4-BE49-F238E27FC236}">
              <a16:creationId xmlns:a16="http://schemas.microsoft.com/office/drawing/2014/main" id="{00000000-0008-0000-0100-000052000000}"/>
            </a:ext>
          </a:extLst>
        </xdr:cNvPr>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856" t="843" r="856" b="843"/>
        <a:stretch/>
      </xdr:blipFill>
      <xdr:spPr bwMode="auto">
        <a:xfrm>
          <a:off x="3914775" y="10439399"/>
          <a:ext cx="1152000" cy="10758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8</xdr:col>
      <xdr:colOff>57150</xdr:colOff>
      <xdr:row>72</xdr:row>
      <xdr:rowOff>161924</xdr:rowOff>
    </xdr:from>
    <xdr:to>
      <xdr:col>9</xdr:col>
      <xdr:colOff>455550</xdr:colOff>
      <xdr:row>78</xdr:row>
      <xdr:rowOff>26924</xdr:rowOff>
    </xdr:to>
    <xdr:pic>
      <xdr:nvPicPr>
        <xdr:cNvPr id="83" name="Picture 82" descr="http://vgbc.org.vn/wp-content/uploads/2017/05/Fico-Pan.jpg">
          <a:hlinkClick xmlns:r="http://schemas.openxmlformats.org/officeDocument/2006/relationships" r:id="rId68"/>
          <a:extLst>
            <a:ext uri="{FF2B5EF4-FFF2-40B4-BE49-F238E27FC236}">
              <a16:creationId xmlns:a16="http://schemas.microsoft.com/office/drawing/2014/main" id="{00000000-0008-0000-0100-000053000000}"/>
            </a:ext>
          </a:extLst>
        </xdr:cNvPr>
        <xdr:cNvPicPr/>
      </xdr:nvPicPr>
      <xdr:blipFill rotWithShape="1">
        <a:blip xmlns:r="http://schemas.openxmlformats.org/officeDocument/2006/relationships" r:embed="rId69" cstate="print">
          <a:extLst>
            <a:ext uri="{28A0092B-C50C-407E-A947-70E740481C1C}">
              <a14:useLocalDpi xmlns:a14="http://schemas.microsoft.com/office/drawing/2010/main" val="0"/>
            </a:ext>
          </a:extLst>
        </a:blip>
        <a:srcRect l="2262" t="2241" r="2262" b="2241"/>
        <a:stretch/>
      </xdr:blipFill>
      <xdr:spPr bwMode="auto">
        <a:xfrm>
          <a:off x="4667250" y="15535274"/>
          <a:ext cx="1008000" cy="1008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12</xdr:col>
      <xdr:colOff>66675</xdr:colOff>
      <xdr:row>77</xdr:row>
      <xdr:rowOff>171449</xdr:rowOff>
    </xdr:from>
    <xdr:to>
      <xdr:col>13</xdr:col>
      <xdr:colOff>465075</xdr:colOff>
      <xdr:row>83</xdr:row>
      <xdr:rowOff>36449</xdr:rowOff>
    </xdr:to>
    <xdr:pic>
      <xdr:nvPicPr>
        <xdr:cNvPr id="84" name="Picture 83" descr="http://vgbc.org.vn/wp-content/uploads/2017/05/SOLASIA.jpg">
          <a:extLst>
            <a:ext uri="{FF2B5EF4-FFF2-40B4-BE49-F238E27FC236}">
              <a16:creationId xmlns:a16="http://schemas.microsoft.com/office/drawing/2014/main" id="{00000000-0008-0000-0100-000054000000}"/>
            </a:ext>
          </a:extLst>
        </xdr:cNvPr>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l="870" t="855" r="870" b="855"/>
        <a:stretch/>
      </xdr:blipFill>
      <xdr:spPr bwMode="auto">
        <a:xfrm>
          <a:off x="7286625" y="16497299"/>
          <a:ext cx="1008000" cy="1008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342900</xdr:colOff>
      <xdr:row>82</xdr:row>
      <xdr:rowOff>133350</xdr:rowOff>
    </xdr:from>
    <xdr:to>
      <xdr:col>5</xdr:col>
      <xdr:colOff>74550</xdr:colOff>
      <xdr:row>87</xdr:row>
      <xdr:rowOff>123826</xdr:rowOff>
    </xdr:to>
    <xdr:pic>
      <xdr:nvPicPr>
        <xdr:cNvPr id="42" name="Picture 41" descr="http://vgbc.org.vn/wp-content/uploads/2016/09/TEKCOM.jpg">
          <a:hlinkClick xmlns:r="http://schemas.openxmlformats.org/officeDocument/2006/relationships" r:id="rId71"/>
          <a:extLst>
            <a:ext uri="{FF2B5EF4-FFF2-40B4-BE49-F238E27FC236}">
              <a16:creationId xmlns:a16="http://schemas.microsoft.com/office/drawing/2014/main" id="{00000000-0008-0000-0100-00002A000000}"/>
            </a:ext>
          </a:extLst>
        </xdr:cNvPr>
        <xdr:cNvPicPr/>
      </xdr:nvPicPr>
      <xdr:blipFill rotWithShape="1">
        <a:blip xmlns:r="http://schemas.openxmlformats.org/officeDocument/2006/relationships" r:embed="rId72" cstate="print">
          <a:extLst>
            <a:ext uri="{28A0092B-C50C-407E-A947-70E740481C1C}">
              <a14:useLocalDpi xmlns:a14="http://schemas.microsoft.com/office/drawing/2010/main" val="0"/>
            </a:ext>
          </a:extLst>
        </a:blip>
        <a:srcRect l="844" t="830" r="844" b="7174"/>
        <a:stretch/>
      </xdr:blipFill>
      <xdr:spPr bwMode="auto">
        <a:xfrm>
          <a:off x="1847850" y="17411700"/>
          <a:ext cx="1008000" cy="94297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257175</xdr:colOff>
      <xdr:row>1</xdr:row>
      <xdr:rowOff>114300</xdr:rowOff>
    </xdr:from>
    <xdr:to>
      <xdr:col>2</xdr:col>
      <xdr:colOff>759825</xdr:colOff>
      <xdr:row>3</xdr:row>
      <xdr:rowOff>57300</xdr:rowOff>
    </xdr:to>
    <xdr:sp macro="" textlink="">
      <xdr:nvSpPr>
        <xdr:cNvPr id="2" name="Rectangle à coins arrondis 2">
          <a:hlinkClick xmlns:r="http://schemas.openxmlformats.org/officeDocument/2006/relationships" r:id="rId1" tooltip="Back to Energy"/>
          <a:extLst>
            <a:ext uri="{FF2B5EF4-FFF2-40B4-BE49-F238E27FC236}">
              <a16:creationId xmlns:a16="http://schemas.microsoft.com/office/drawing/2014/main" id="{00000000-0008-0000-1200-000002000000}"/>
            </a:ext>
          </a:extLst>
        </xdr:cNvPr>
        <xdr:cNvSpPr>
          <a:spLocks noChangeArrowheads="1"/>
        </xdr:cNvSpPr>
      </xdr:nvSpPr>
      <xdr:spPr bwMode="auto">
        <a:xfrm>
          <a:off x="257175" y="438150"/>
          <a:ext cx="216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1247775</xdr:colOff>
      <xdr:row>1</xdr:row>
      <xdr:rowOff>114300</xdr:rowOff>
    </xdr:from>
    <xdr:to>
      <xdr:col>4</xdr:col>
      <xdr:colOff>645525</xdr:colOff>
      <xdr:row>3</xdr:row>
      <xdr:rowOff>57300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1200-000003000000}"/>
            </a:ext>
          </a:extLst>
        </xdr:cNvPr>
        <xdr:cNvSpPr>
          <a:spLocks noChangeArrowheads="1"/>
        </xdr:cNvSpPr>
      </xdr:nvSpPr>
      <xdr:spPr bwMode="auto">
        <a:xfrm>
          <a:off x="2905125" y="4381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66675</xdr:colOff>
      <xdr:row>17</xdr:row>
      <xdr:rowOff>142875</xdr:rowOff>
    </xdr:from>
    <xdr:to>
      <xdr:col>1</xdr:col>
      <xdr:colOff>570675</xdr:colOff>
      <xdr:row>20</xdr:row>
      <xdr:rowOff>75375</xdr:rowOff>
    </xdr:to>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900" y="3943350"/>
          <a:ext cx="504000" cy="504000"/>
        </a:xfrm>
        <a:prstGeom prst="rect">
          <a:avLst/>
        </a:prstGeom>
      </xdr:spPr>
    </xdr:pic>
    <xdr:clientData/>
  </xdr:twoCellAnchor>
  <xdr:oneCellAnchor>
    <xdr:from>
      <xdr:col>1</xdr:col>
      <xdr:colOff>0</xdr:colOff>
      <xdr:row>14</xdr:row>
      <xdr:rowOff>66675</xdr:rowOff>
    </xdr:from>
    <xdr:ext cx="401641" cy="396000"/>
    <xdr:pic>
      <xdr:nvPicPr>
        <xdr:cNvPr id="13" name="Picture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3143250"/>
          <a:ext cx="401641" cy="396000"/>
        </a:xfrm>
        <a:prstGeom prst="rect">
          <a:avLst/>
        </a:prstGeom>
      </xdr:spPr>
    </xdr:pic>
    <xdr:clientData/>
  </xdr:oneCellAnchor>
  <xdr:twoCellAnchor editAs="oneCell">
    <xdr:from>
      <xdr:col>1</xdr:col>
      <xdr:colOff>28575</xdr:colOff>
      <xdr:row>21</xdr:row>
      <xdr:rowOff>161925</xdr:rowOff>
    </xdr:from>
    <xdr:to>
      <xdr:col>1</xdr:col>
      <xdr:colOff>388575</xdr:colOff>
      <xdr:row>23</xdr:row>
      <xdr:rowOff>93300</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4800" y="4533900"/>
          <a:ext cx="360000" cy="360000"/>
        </a:xfrm>
        <a:prstGeom prst="rect">
          <a:avLst/>
        </a:prstGeom>
      </xdr:spPr>
    </xdr:pic>
    <xdr:clientData/>
  </xdr:twoCellAnchor>
  <xdr:twoCellAnchor>
    <xdr:from>
      <xdr:col>6</xdr:col>
      <xdr:colOff>1095375</xdr:colOff>
      <xdr:row>1</xdr:row>
      <xdr:rowOff>95250</xdr:rowOff>
    </xdr:from>
    <xdr:to>
      <xdr:col>7</xdr:col>
      <xdr:colOff>295275</xdr:colOff>
      <xdr:row>3</xdr:row>
      <xdr:rowOff>66675</xdr:rowOff>
    </xdr:to>
    <xdr:sp macro="" textlink="">
      <xdr:nvSpPr>
        <xdr:cNvPr id="15" name="Up Arrow 14">
          <a:hlinkClick xmlns:r="http://schemas.openxmlformats.org/officeDocument/2006/relationships" r:id="rId6" tooltip="Back to top"/>
          <a:extLst>
            <a:ext uri="{FF2B5EF4-FFF2-40B4-BE49-F238E27FC236}">
              <a16:creationId xmlns:a16="http://schemas.microsoft.com/office/drawing/2014/main" id="{00000000-0008-0000-1200-00000F000000}"/>
            </a:ext>
          </a:extLst>
        </xdr:cNvPr>
        <xdr:cNvSpPr/>
      </xdr:nvSpPr>
      <xdr:spPr>
        <a:xfrm>
          <a:off x="8143875" y="419100"/>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xdr:col>
      <xdr:colOff>380775</xdr:colOff>
      <xdr:row>3</xdr:row>
      <xdr:rowOff>57300</xdr:rowOff>
    </xdr:to>
    <xdr:sp macro="" textlink="">
      <xdr:nvSpPr>
        <xdr:cNvPr id="2" name="Rectangle à coins arrondis 2">
          <a:hlinkClick xmlns:r="http://schemas.openxmlformats.org/officeDocument/2006/relationships" r:id="rId1" tooltip="Back to Energy"/>
          <a:extLst>
            <a:ext uri="{FF2B5EF4-FFF2-40B4-BE49-F238E27FC236}">
              <a16:creationId xmlns:a16="http://schemas.microsoft.com/office/drawing/2014/main" id="{00000000-0008-0000-1300-000002000000}"/>
            </a:ext>
          </a:extLst>
        </xdr:cNvPr>
        <xdr:cNvSpPr>
          <a:spLocks noChangeArrowheads="1"/>
        </xdr:cNvSpPr>
      </xdr:nvSpPr>
      <xdr:spPr bwMode="auto">
        <a:xfrm>
          <a:off x="285750" y="438150"/>
          <a:ext cx="178095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733425</xdr:colOff>
      <xdr:row>1</xdr:row>
      <xdr:rowOff>114300</xdr:rowOff>
    </xdr:from>
    <xdr:to>
      <xdr:col>3</xdr:col>
      <xdr:colOff>1057050</xdr:colOff>
      <xdr:row>3</xdr:row>
      <xdr:rowOff>57300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1300-000003000000}"/>
            </a:ext>
          </a:extLst>
        </xdr:cNvPr>
        <xdr:cNvSpPr>
          <a:spLocks noChangeArrowheads="1"/>
        </xdr:cNvSpPr>
      </xdr:nvSpPr>
      <xdr:spPr bwMode="auto">
        <a:xfrm>
          <a:off x="2419350" y="438150"/>
          <a:ext cx="180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219075</xdr:colOff>
      <xdr:row>1</xdr:row>
      <xdr:rowOff>142875</xdr:rowOff>
    </xdr:from>
    <xdr:to>
      <xdr:col>4</xdr:col>
      <xdr:colOff>1155075</xdr:colOff>
      <xdr:row>3</xdr:row>
      <xdr:rowOff>49875</xdr:rowOff>
    </xdr:to>
    <xdr:sp macro="" textlink="">
      <xdr:nvSpPr>
        <xdr:cNvPr id="9" name="Rectangle à coins arrondis 2">
          <a:hlinkClick xmlns:r="http://schemas.openxmlformats.org/officeDocument/2006/relationships" r:id="rId3" tooltip="E-BPC-1"/>
          <a:extLst>
            <a:ext uri="{FF2B5EF4-FFF2-40B4-BE49-F238E27FC236}">
              <a16:creationId xmlns:a16="http://schemas.microsoft.com/office/drawing/2014/main" id="{00000000-0008-0000-1300-000009000000}"/>
            </a:ext>
          </a:extLst>
        </xdr:cNvPr>
        <xdr:cNvSpPr>
          <a:spLocks noChangeArrowheads="1"/>
        </xdr:cNvSpPr>
      </xdr:nvSpPr>
      <xdr:spPr bwMode="auto">
        <a:xfrm>
          <a:off x="4667250" y="466725"/>
          <a:ext cx="936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E-BPC-1</a:t>
          </a:r>
        </a:p>
      </xdr:txBody>
    </xdr:sp>
    <xdr:clientData/>
  </xdr:twoCellAnchor>
  <xdr:twoCellAnchor>
    <xdr:from>
      <xdr:col>4</xdr:col>
      <xdr:colOff>1257300</xdr:colOff>
      <xdr:row>1</xdr:row>
      <xdr:rowOff>142875</xdr:rowOff>
    </xdr:from>
    <xdr:to>
      <xdr:col>5</xdr:col>
      <xdr:colOff>735975</xdr:colOff>
      <xdr:row>3</xdr:row>
      <xdr:rowOff>49875</xdr:rowOff>
    </xdr:to>
    <xdr:sp macro="" textlink="">
      <xdr:nvSpPr>
        <xdr:cNvPr id="10" name="Rectangle à coins arrondis 2">
          <a:hlinkClick xmlns:r="http://schemas.openxmlformats.org/officeDocument/2006/relationships" r:id="rId4" tooltip="E-BPC-2"/>
          <a:extLst>
            <a:ext uri="{FF2B5EF4-FFF2-40B4-BE49-F238E27FC236}">
              <a16:creationId xmlns:a16="http://schemas.microsoft.com/office/drawing/2014/main" id="{00000000-0008-0000-1300-00000A000000}"/>
            </a:ext>
          </a:extLst>
        </xdr:cNvPr>
        <xdr:cNvSpPr>
          <a:spLocks noChangeArrowheads="1"/>
        </xdr:cNvSpPr>
      </xdr:nvSpPr>
      <xdr:spPr bwMode="auto">
        <a:xfrm>
          <a:off x="5705475" y="466725"/>
          <a:ext cx="936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E-BPC-2</a:t>
          </a:r>
        </a:p>
      </xdr:txBody>
    </xdr:sp>
    <xdr:clientData/>
  </xdr:twoCellAnchor>
  <xdr:twoCellAnchor>
    <xdr:from>
      <xdr:col>5</xdr:col>
      <xdr:colOff>828675</xdr:colOff>
      <xdr:row>1</xdr:row>
      <xdr:rowOff>142875</xdr:rowOff>
    </xdr:from>
    <xdr:to>
      <xdr:col>6</xdr:col>
      <xdr:colOff>383550</xdr:colOff>
      <xdr:row>3</xdr:row>
      <xdr:rowOff>49875</xdr:rowOff>
    </xdr:to>
    <xdr:sp macro="" textlink="">
      <xdr:nvSpPr>
        <xdr:cNvPr id="11" name="Rectangle à coins arrondis 2">
          <a:hlinkClick xmlns:r="http://schemas.openxmlformats.org/officeDocument/2006/relationships" r:id="rId5" tooltip="E-BPC-3"/>
          <a:extLst>
            <a:ext uri="{FF2B5EF4-FFF2-40B4-BE49-F238E27FC236}">
              <a16:creationId xmlns:a16="http://schemas.microsoft.com/office/drawing/2014/main" id="{00000000-0008-0000-1300-00000B000000}"/>
            </a:ext>
          </a:extLst>
        </xdr:cNvPr>
        <xdr:cNvSpPr>
          <a:spLocks noChangeArrowheads="1"/>
        </xdr:cNvSpPr>
      </xdr:nvSpPr>
      <xdr:spPr bwMode="auto">
        <a:xfrm>
          <a:off x="6734175" y="466725"/>
          <a:ext cx="936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E-BPC-3</a:t>
          </a:r>
        </a:p>
      </xdr:txBody>
    </xdr:sp>
    <xdr:clientData/>
  </xdr:twoCellAnchor>
  <xdr:twoCellAnchor editAs="oneCell">
    <xdr:from>
      <xdr:col>1</xdr:col>
      <xdr:colOff>38100</xdr:colOff>
      <xdr:row>79</xdr:row>
      <xdr:rowOff>123825</xdr:rowOff>
    </xdr:from>
    <xdr:to>
      <xdr:col>1</xdr:col>
      <xdr:colOff>398100</xdr:colOff>
      <xdr:row>81</xdr:row>
      <xdr:rowOff>74250</xdr:rowOff>
    </xdr:to>
    <xdr:pic>
      <xdr:nvPicPr>
        <xdr:cNvPr id="13" name="Picture 12">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2900" y="16840200"/>
          <a:ext cx="360000" cy="360000"/>
        </a:xfrm>
        <a:prstGeom prst="rect">
          <a:avLst/>
        </a:prstGeom>
      </xdr:spPr>
    </xdr:pic>
    <xdr:clientData/>
  </xdr:twoCellAnchor>
  <xdr:oneCellAnchor>
    <xdr:from>
      <xdr:col>1</xdr:col>
      <xdr:colOff>28575</xdr:colOff>
      <xdr:row>48</xdr:row>
      <xdr:rowOff>161925</xdr:rowOff>
    </xdr:from>
    <xdr:ext cx="360000" cy="360000"/>
    <xdr:pic>
      <xdr:nvPicPr>
        <xdr:cNvPr id="14" name="Picture 13">
          <a:extLst>
            <a:ext uri="{FF2B5EF4-FFF2-40B4-BE49-F238E27FC236}">
              <a16:creationId xmlns:a16="http://schemas.microsoft.com/office/drawing/2014/main" id="{00000000-0008-0000-13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9534525"/>
          <a:ext cx="360000" cy="360000"/>
        </a:xfrm>
        <a:prstGeom prst="rect">
          <a:avLst/>
        </a:prstGeom>
      </xdr:spPr>
    </xdr:pic>
    <xdr:clientData/>
  </xdr:oneCellAnchor>
  <xdr:twoCellAnchor editAs="oneCell">
    <xdr:from>
      <xdr:col>1</xdr:col>
      <xdr:colOff>19050</xdr:colOff>
      <xdr:row>46</xdr:row>
      <xdr:rowOff>114300</xdr:rowOff>
    </xdr:from>
    <xdr:to>
      <xdr:col>1</xdr:col>
      <xdr:colOff>379050</xdr:colOff>
      <xdr:row>48</xdr:row>
      <xdr:rowOff>93300</xdr:rowOff>
    </xdr:to>
    <xdr:pic>
      <xdr:nvPicPr>
        <xdr:cNvPr id="15" name="Picture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9105900"/>
          <a:ext cx="360000" cy="360000"/>
        </a:xfrm>
        <a:prstGeom prst="rect">
          <a:avLst/>
        </a:prstGeom>
      </xdr:spPr>
    </xdr:pic>
    <xdr:clientData/>
  </xdr:twoCellAnchor>
  <xdr:twoCellAnchor editAs="oneCell">
    <xdr:from>
      <xdr:col>1</xdr:col>
      <xdr:colOff>28575</xdr:colOff>
      <xdr:row>19</xdr:row>
      <xdr:rowOff>123825</xdr:rowOff>
    </xdr:from>
    <xdr:to>
      <xdr:col>1</xdr:col>
      <xdr:colOff>388575</xdr:colOff>
      <xdr:row>21</xdr:row>
      <xdr:rowOff>102825</xdr:rowOff>
    </xdr:to>
    <xdr:pic>
      <xdr:nvPicPr>
        <xdr:cNvPr id="16" name="Picture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4048125"/>
          <a:ext cx="360000" cy="360000"/>
        </a:xfrm>
        <a:prstGeom prst="rect">
          <a:avLst/>
        </a:prstGeom>
      </xdr:spPr>
    </xdr:pic>
    <xdr:clientData/>
  </xdr:twoCellAnchor>
  <xdr:oneCellAnchor>
    <xdr:from>
      <xdr:col>1</xdr:col>
      <xdr:colOff>9525</xdr:colOff>
      <xdr:row>22</xdr:row>
      <xdr:rowOff>0</xdr:rowOff>
    </xdr:from>
    <xdr:ext cx="401641" cy="396000"/>
    <xdr:pic>
      <xdr:nvPicPr>
        <xdr:cNvPr id="17" name="Picture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3375" y="4495800"/>
          <a:ext cx="401641" cy="396000"/>
        </a:xfrm>
        <a:prstGeom prst="rect">
          <a:avLst/>
        </a:prstGeom>
      </xdr:spPr>
    </xdr:pic>
    <xdr:clientData/>
  </xdr:oneCellAnchor>
  <xdr:twoCellAnchor editAs="oneCell">
    <xdr:from>
      <xdr:col>1</xdr:col>
      <xdr:colOff>38100</xdr:colOff>
      <xdr:row>24</xdr:row>
      <xdr:rowOff>114300</xdr:rowOff>
    </xdr:from>
    <xdr:to>
      <xdr:col>1</xdr:col>
      <xdr:colOff>398100</xdr:colOff>
      <xdr:row>26</xdr:row>
      <xdr:rowOff>93300</xdr:rowOff>
    </xdr:to>
    <xdr:pic>
      <xdr:nvPicPr>
        <xdr:cNvPr id="18" name="Picture 17">
          <a:extLst>
            <a:ext uri="{FF2B5EF4-FFF2-40B4-BE49-F238E27FC236}">
              <a16:creationId xmlns:a16="http://schemas.microsoft.com/office/drawing/2014/main" id="{00000000-0008-0000-13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1950" y="4991100"/>
          <a:ext cx="360000" cy="360000"/>
        </a:xfrm>
        <a:prstGeom prst="rect">
          <a:avLst/>
        </a:prstGeom>
      </xdr:spPr>
    </xdr:pic>
    <xdr:clientData/>
  </xdr:twoCellAnchor>
  <xdr:twoCellAnchor editAs="oneCell">
    <xdr:from>
      <xdr:col>1</xdr:col>
      <xdr:colOff>57150</xdr:colOff>
      <xdr:row>74</xdr:row>
      <xdr:rowOff>0</xdr:rowOff>
    </xdr:from>
    <xdr:to>
      <xdr:col>1</xdr:col>
      <xdr:colOff>633150</xdr:colOff>
      <xdr:row>77</xdr:row>
      <xdr:rowOff>4500</xdr:rowOff>
    </xdr:to>
    <xdr:pic>
      <xdr:nvPicPr>
        <xdr:cNvPr id="19" name="Picture 18">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1950" y="15763875"/>
          <a:ext cx="576000" cy="576000"/>
        </a:xfrm>
        <a:prstGeom prst="rect">
          <a:avLst/>
        </a:prstGeom>
      </xdr:spPr>
    </xdr:pic>
    <xdr:clientData/>
  </xdr:twoCellAnchor>
  <xdr:twoCellAnchor>
    <xdr:from>
      <xdr:col>7</xdr:col>
      <xdr:colOff>438150</xdr:colOff>
      <xdr:row>1</xdr:row>
      <xdr:rowOff>104775</xdr:rowOff>
    </xdr:from>
    <xdr:to>
      <xdr:col>7</xdr:col>
      <xdr:colOff>885825</xdr:colOff>
      <xdr:row>3</xdr:row>
      <xdr:rowOff>76200</xdr:rowOff>
    </xdr:to>
    <xdr:sp macro="" textlink="">
      <xdr:nvSpPr>
        <xdr:cNvPr id="20" name="Up Arrow 19">
          <a:hlinkClick xmlns:r="http://schemas.openxmlformats.org/officeDocument/2006/relationships" r:id="rId9" tooltip="Back to top"/>
          <a:extLst>
            <a:ext uri="{FF2B5EF4-FFF2-40B4-BE49-F238E27FC236}">
              <a16:creationId xmlns:a16="http://schemas.microsoft.com/office/drawing/2014/main" id="{00000000-0008-0000-1300-000014000000}"/>
            </a:ext>
          </a:extLst>
        </xdr:cNvPr>
        <xdr:cNvSpPr/>
      </xdr:nvSpPr>
      <xdr:spPr>
        <a:xfrm>
          <a:off x="8896350" y="42862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28575</xdr:colOff>
      <xdr:row>103</xdr:row>
      <xdr:rowOff>66675</xdr:rowOff>
    </xdr:from>
    <xdr:to>
      <xdr:col>1</xdr:col>
      <xdr:colOff>496575</xdr:colOff>
      <xdr:row>105</xdr:row>
      <xdr:rowOff>153675</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3375" y="22069425"/>
          <a:ext cx="468000" cy="468000"/>
        </a:xfrm>
        <a:prstGeom prst="rect">
          <a:avLst/>
        </a:prstGeom>
      </xdr:spPr>
    </xdr:pic>
    <xdr:clientData/>
  </xdr:twoCellAnchor>
  <xdr:oneCellAnchor>
    <xdr:from>
      <xdr:col>1</xdr:col>
      <xdr:colOff>38100</xdr:colOff>
      <xdr:row>108</xdr:row>
      <xdr:rowOff>38100</xdr:rowOff>
    </xdr:from>
    <xdr:ext cx="360000" cy="360000"/>
    <xdr:pic>
      <xdr:nvPicPr>
        <xdr:cNvPr id="25" name="Picture 24">
          <a:extLst>
            <a:ext uri="{FF2B5EF4-FFF2-40B4-BE49-F238E27FC236}">
              <a16:creationId xmlns:a16="http://schemas.microsoft.com/office/drawing/2014/main" id="{00000000-0008-0000-13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2900" y="22993350"/>
          <a:ext cx="360000" cy="360000"/>
        </a:xfrm>
        <a:prstGeom prst="rect">
          <a:avLst/>
        </a:prstGeom>
      </xdr:spPr>
    </xdr:pic>
    <xdr:clientData/>
  </xdr:oneCellAnchor>
  <xdr:oneCellAnchor>
    <xdr:from>
      <xdr:col>1</xdr:col>
      <xdr:colOff>19050</xdr:colOff>
      <xdr:row>124</xdr:row>
      <xdr:rowOff>0</xdr:rowOff>
    </xdr:from>
    <xdr:ext cx="360000" cy="360000"/>
    <xdr:pic>
      <xdr:nvPicPr>
        <xdr:cNvPr id="27" name="Picture 26">
          <a:extLst>
            <a:ext uri="{FF2B5EF4-FFF2-40B4-BE49-F238E27FC236}">
              <a16:creationId xmlns:a16="http://schemas.microsoft.com/office/drawing/2014/main" id="{00000000-0008-0000-13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3850" y="24250650"/>
          <a:ext cx="360000" cy="360000"/>
        </a:xfrm>
        <a:prstGeom prst="rect">
          <a:avLst/>
        </a:prstGeom>
      </xdr:spPr>
    </xdr:pic>
    <xdr:clientData/>
  </xdr:oneCellAnchor>
  <xdr:oneCellAnchor>
    <xdr:from>
      <xdr:col>1</xdr:col>
      <xdr:colOff>28575</xdr:colOff>
      <xdr:row>119</xdr:row>
      <xdr:rowOff>47625</xdr:rowOff>
    </xdr:from>
    <xdr:ext cx="360000" cy="360000"/>
    <xdr:pic>
      <xdr:nvPicPr>
        <xdr:cNvPr id="28" name="Picture 27">
          <a:extLst>
            <a:ext uri="{FF2B5EF4-FFF2-40B4-BE49-F238E27FC236}">
              <a16:creationId xmlns:a16="http://schemas.microsoft.com/office/drawing/2014/main" id="{00000000-0008-0000-1300-00001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3375" y="24355425"/>
          <a:ext cx="360000" cy="360000"/>
        </a:xfrm>
        <a:prstGeom prst="rect">
          <a:avLst/>
        </a:prstGeom>
      </xdr:spPr>
    </xdr:pic>
    <xdr:clientData/>
  </xdr:oneCellAnchor>
  <xdr:twoCellAnchor>
    <xdr:from>
      <xdr:col>6</xdr:col>
      <xdr:colOff>495300</xdr:colOff>
      <xdr:row>1</xdr:row>
      <xdr:rowOff>142875</xdr:rowOff>
    </xdr:from>
    <xdr:to>
      <xdr:col>7</xdr:col>
      <xdr:colOff>259725</xdr:colOff>
      <xdr:row>3</xdr:row>
      <xdr:rowOff>49875</xdr:rowOff>
    </xdr:to>
    <xdr:sp macro="" textlink="">
      <xdr:nvSpPr>
        <xdr:cNvPr id="29" name="Rectangle à coins arrondis 2">
          <a:hlinkClick xmlns:r="http://schemas.openxmlformats.org/officeDocument/2006/relationships" r:id="rId10" tooltip="E-BPC-4"/>
          <a:extLst>
            <a:ext uri="{FF2B5EF4-FFF2-40B4-BE49-F238E27FC236}">
              <a16:creationId xmlns:a16="http://schemas.microsoft.com/office/drawing/2014/main" id="{00000000-0008-0000-1300-00001D000000}"/>
            </a:ext>
          </a:extLst>
        </xdr:cNvPr>
        <xdr:cNvSpPr>
          <a:spLocks noChangeArrowheads="1"/>
        </xdr:cNvSpPr>
      </xdr:nvSpPr>
      <xdr:spPr bwMode="auto">
        <a:xfrm>
          <a:off x="7781925" y="466725"/>
          <a:ext cx="936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E-BPC-4</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144454</xdr:colOff>
      <xdr:row>0</xdr:row>
      <xdr:rowOff>52916</xdr:rowOff>
    </xdr:from>
    <xdr:to>
      <xdr:col>11</xdr:col>
      <xdr:colOff>148168</xdr:colOff>
      <xdr:row>2</xdr:row>
      <xdr:rowOff>193157</xdr:rowOff>
    </xdr:to>
    <xdr:pic>
      <xdr:nvPicPr>
        <xdr:cNvPr id="2" name="Image 2" descr="Water.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531871" y="52916"/>
          <a:ext cx="882130" cy="912824"/>
        </a:xfrm>
        <a:prstGeom prst="rect">
          <a:avLst/>
        </a:prstGeom>
        <a:noFill/>
        <a:ln w="9525">
          <a:noFill/>
          <a:miter lim="800000"/>
          <a:headEnd/>
          <a:tailEnd/>
        </a:ln>
      </xdr:spPr>
    </xdr:pic>
    <xdr:clientData/>
  </xdr:twoCellAnchor>
  <xdr:twoCellAnchor>
    <xdr:from>
      <xdr:col>1</xdr:col>
      <xdr:colOff>0</xdr:colOff>
      <xdr:row>12</xdr:row>
      <xdr:rowOff>16750</xdr:rowOff>
    </xdr:from>
    <xdr:to>
      <xdr:col>1</xdr:col>
      <xdr:colOff>1980000</xdr:colOff>
      <xdr:row>14</xdr:row>
      <xdr:rowOff>31750</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1400-000005000000}"/>
            </a:ext>
          </a:extLst>
        </xdr:cNvPr>
        <xdr:cNvSpPr>
          <a:spLocks noChangeArrowheads="1"/>
        </xdr:cNvSpPr>
      </xdr:nvSpPr>
      <xdr:spPr bwMode="auto">
        <a:xfrm>
          <a:off x="381000" y="3530417"/>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285749</xdr:colOff>
      <xdr:row>1</xdr:row>
      <xdr:rowOff>114300</xdr:rowOff>
    </xdr:from>
    <xdr:to>
      <xdr:col>2</xdr:col>
      <xdr:colOff>714375</xdr:colOff>
      <xdr:row>3</xdr:row>
      <xdr:rowOff>57300</xdr:rowOff>
    </xdr:to>
    <xdr:sp macro="" textlink="">
      <xdr:nvSpPr>
        <xdr:cNvPr id="2" name="Rectangle à coins arrondis 2">
          <a:hlinkClick xmlns:r="http://schemas.openxmlformats.org/officeDocument/2006/relationships" r:id="rId1" tooltip="Back to Water"/>
          <a:extLst>
            <a:ext uri="{FF2B5EF4-FFF2-40B4-BE49-F238E27FC236}">
              <a16:creationId xmlns:a16="http://schemas.microsoft.com/office/drawing/2014/main" id="{00000000-0008-0000-1500-000002000000}"/>
            </a:ext>
          </a:extLst>
        </xdr:cNvPr>
        <xdr:cNvSpPr>
          <a:spLocks noChangeArrowheads="1"/>
        </xdr:cNvSpPr>
      </xdr:nvSpPr>
      <xdr:spPr bwMode="auto">
        <a:xfrm>
          <a:off x="285749" y="409575"/>
          <a:ext cx="1981201"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Water</a:t>
          </a:r>
        </a:p>
      </xdr:txBody>
    </xdr:sp>
    <xdr:clientData/>
  </xdr:twoCellAnchor>
  <xdr:twoCellAnchor>
    <xdr:from>
      <xdr:col>2</xdr:col>
      <xdr:colOff>1143000</xdr:colOff>
      <xdr:row>1</xdr:row>
      <xdr:rowOff>114300</xdr:rowOff>
    </xdr:from>
    <xdr:to>
      <xdr:col>4</xdr:col>
      <xdr:colOff>722700</xdr:colOff>
      <xdr:row>3</xdr:row>
      <xdr:rowOff>57300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1500-000003000000}"/>
            </a:ext>
          </a:extLst>
        </xdr:cNvPr>
        <xdr:cNvSpPr>
          <a:spLocks noChangeArrowheads="1"/>
        </xdr:cNvSpPr>
      </xdr:nvSpPr>
      <xdr:spPr bwMode="auto">
        <a:xfrm>
          <a:off x="2695575" y="4095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6</xdr:col>
      <xdr:colOff>247650</xdr:colOff>
      <xdr:row>5</xdr:row>
      <xdr:rowOff>28575</xdr:rowOff>
    </xdr:from>
    <xdr:to>
      <xdr:col>7</xdr:col>
      <xdr:colOff>407100</xdr:colOff>
      <xdr:row>6</xdr:row>
      <xdr:rowOff>49875</xdr:rowOff>
    </xdr:to>
    <xdr:sp macro="" textlink="">
      <xdr:nvSpPr>
        <xdr:cNvPr id="4" name="Rectangle à coins arrondis 2">
          <a:hlinkClick xmlns:r="http://schemas.openxmlformats.org/officeDocument/2006/relationships" r:id="rId3" tooltip="Prescriptive Path"/>
          <a:extLst>
            <a:ext uri="{FF2B5EF4-FFF2-40B4-BE49-F238E27FC236}">
              <a16:creationId xmlns:a16="http://schemas.microsoft.com/office/drawing/2014/main" id="{00000000-0008-0000-1500-000004000000}"/>
            </a:ext>
          </a:extLst>
        </xdr:cNvPr>
        <xdr:cNvSpPr>
          <a:spLocks noChangeArrowheads="1"/>
        </xdr:cNvSpPr>
      </xdr:nvSpPr>
      <xdr:spPr bwMode="auto">
        <a:xfrm>
          <a:off x="6572250" y="1162050"/>
          <a:ext cx="1512000" cy="28800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7</xdr:col>
      <xdr:colOff>685799</xdr:colOff>
      <xdr:row>5</xdr:row>
      <xdr:rowOff>28575</xdr:rowOff>
    </xdr:from>
    <xdr:to>
      <xdr:col>8</xdr:col>
      <xdr:colOff>883349</xdr:colOff>
      <xdr:row>6</xdr:row>
      <xdr:rowOff>49875</xdr:rowOff>
    </xdr:to>
    <xdr:sp macro="" textlink="">
      <xdr:nvSpPr>
        <xdr:cNvPr id="5" name="Rectangle à coins arrondis 2">
          <a:hlinkClick xmlns:r="http://schemas.openxmlformats.org/officeDocument/2006/relationships" r:id="rId4" tooltip="Performance Path"/>
          <a:extLst>
            <a:ext uri="{FF2B5EF4-FFF2-40B4-BE49-F238E27FC236}">
              <a16:creationId xmlns:a16="http://schemas.microsoft.com/office/drawing/2014/main" id="{00000000-0008-0000-1500-000005000000}"/>
            </a:ext>
          </a:extLst>
        </xdr:cNvPr>
        <xdr:cNvSpPr>
          <a:spLocks noChangeArrowheads="1"/>
        </xdr:cNvSpPr>
      </xdr:nvSpPr>
      <xdr:spPr bwMode="auto">
        <a:xfrm>
          <a:off x="8362949" y="1162050"/>
          <a:ext cx="1512000" cy="288000"/>
        </a:xfrm>
        <a:prstGeom prst="roundRect">
          <a:avLst>
            <a:gd name="adj" fmla="val 16667"/>
          </a:avLst>
        </a:prstGeom>
        <a:solidFill>
          <a:schemeClr val="accent1">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5</xdr:col>
      <xdr:colOff>952500</xdr:colOff>
      <xdr:row>5</xdr:row>
      <xdr:rowOff>38100</xdr:rowOff>
    </xdr:from>
    <xdr:to>
      <xdr:col>6</xdr:col>
      <xdr:colOff>9675</xdr:colOff>
      <xdr:row>6</xdr:row>
      <xdr:rowOff>59400</xdr:rowOff>
    </xdr:to>
    <xdr:sp macro="" textlink="">
      <xdr:nvSpPr>
        <xdr:cNvPr id="6" name="Flèche droite 5">
          <a:extLst>
            <a:ext uri="{FF2B5EF4-FFF2-40B4-BE49-F238E27FC236}">
              <a16:creationId xmlns:a16="http://schemas.microsoft.com/office/drawing/2014/main" id="{00000000-0008-0000-1500-000006000000}"/>
            </a:ext>
          </a:extLst>
        </xdr:cNvPr>
        <xdr:cNvSpPr/>
      </xdr:nvSpPr>
      <xdr:spPr>
        <a:xfrm>
          <a:off x="5981700" y="1171575"/>
          <a:ext cx="352575" cy="288000"/>
        </a:xfrm>
        <a:prstGeom prst="rightArrow">
          <a:avLst/>
        </a:prstGeom>
        <a:solidFill>
          <a:srgbClr val="0070C0"/>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0</xdr:col>
      <xdr:colOff>323850</xdr:colOff>
      <xdr:row>24</xdr:row>
      <xdr:rowOff>95250</xdr:rowOff>
    </xdr:from>
    <xdr:to>
      <xdr:col>1</xdr:col>
      <xdr:colOff>396000</xdr:colOff>
      <xdr:row>26</xdr:row>
      <xdr:rowOff>110250</xdr:rowOff>
    </xdr:to>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3850" y="5381625"/>
          <a:ext cx="396000" cy="396000"/>
        </a:xfrm>
        <a:prstGeom prst="rect">
          <a:avLst/>
        </a:prstGeom>
      </xdr:spPr>
    </xdr:pic>
    <xdr:clientData/>
  </xdr:twoCellAnchor>
  <xdr:twoCellAnchor editAs="oneCell">
    <xdr:from>
      <xdr:col>1</xdr:col>
      <xdr:colOff>57150</xdr:colOff>
      <xdr:row>28</xdr:row>
      <xdr:rowOff>19050</xdr:rowOff>
    </xdr:from>
    <xdr:to>
      <xdr:col>1</xdr:col>
      <xdr:colOff>597150</xdr:colOff>
      <xdr:row>30</xdr:row>
      <xdr:rowOff>178050</xdr:rowOff>
    </xdr:to>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1950" y="5915025"/>
          <a:ext cx="540000" cy="540000"/>
        </a:xfrm>
        <a:prstGeom prst="rect">
          <a:avLst/>
        </a:prstGeom>
      </xdr:spPr>
    </xdr:pic>
    <xdr:clientData/>
  </xdr:twoCellAnchor>
  <xdr:oneCellAnchor>
    <xdr:from>
      <xdr:col>0</xdr:col>
      <xdr:colOff>323850</xdr:colOff>
      <xdr:row>86</xdr:row>
      <xdr:rowOff>95250</xdr:rowOff>
    </xdr:from>
    <xdr:ext cx="396000" cy="396000"/>
    <xdr:pic>
      <xdr:nvPicPr>
        <xdr:cNvPr id="9" name="Picture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3850" y="5400675"/>
          <a:ext cx="396000" cy="396000"/>
        </a:xfrm>
        <a:prstGeom prst="rect">
          <a:avLst/>
        </a:prstGeom>
      </xdr:spPr>
    </xdr:pic>
    <xdr:clientData/>
  </xdr:oneCellAnchor>
  <xdr:twoCellAnchor editAs="oneCell">
    <xdr:from>
      <xdr:col>1</xdr:col>
      <xdr:colOff>38100</xdr:colOff>
      <xdr:row>93</xdr:row>
      <xdr:rowOff>104775</xdr:rowOff>
    </xdr:from>
    <xdr:to>
      <xdr:col>1</xdr:col>
      <xdr:colOff>398100</xdr:colOff>
      <xdr:row>95</xdr:row>
      <xdr:rowOff>83775</xdr:rowOff>
    </xdr:to>
    <xdr:pic>
      <xdr:nvPicPr>
        <xdr:cNvPr id="10" name="Picture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1475" y="4686300"/>
          <a:ext cx="360000" cy="360000"/>
        </a:xfrm>
        <a:prstGeom prst="rect">
          <a:avLst/>
        </a:prstGeom>
      </xdr:spPr>
    </xdr:pic>
    <xdr:clientData/>
  </xdr:twoCellAnchor>
  <xdr:oneCellAnchor>
    <xdr:from>
      <xdr:col>1</xdr:col>
      <xdr:colOff>38100</xdr:colOff>
      <xdr:row>35</xdr:row>
      <xdr:rowOff>104775</xdr:rowOff>
    </xdr:from>
    <xdr:ext cx="360000" cy="360000"/>
    <xdr:pic>
      <xdr:nvPicPr>
        <xdr:cNvPr id="11" name="Picture 10">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1475" y="23545800"/>
          <a:ext cx="360000" cy="360000"/>
        </a:xfrm>
        <a:prstGeom prst="rect">
          <a:avLst/>
        </a:prstGeom>
      </xdr:spPr>
    </xdr:pic>
    <xdr:clientData/>
  </xdr:oneCellAnchor>
  <xdr:twoCellAnchor>
    <xdr:from>
      <xdr:col>7</xdr:col>
      <xdr:colOff>733425</xdr:colOff>
      <xdr:row>1</xdr:row>
      <xdr:rowOff>95250</xdr:rowOff>
    </xdr:from>
    <xdr:to>
      <xdr:col>7</xdr:col>
      <xdr:colOff>1181100</xdr:colOff>
      <xdr:row>3</xdr:row>
      <xdr:rowOff>66675</xdr:rowOff>
    </xdr:to>
    <xdr:sp macro="" textlink="">
      <xdr:nvSpPr>
        <xdr:cNvPr id="12" name="Up Arrow 11">
          <a:hlinkClick xmlns:r="http://schemas.openxmlformats.org/officeDocument/2006/relationships" r:id="rId7" tooltip="Back to top"/>
          <a:extLst>
            <a:ext uri="{FF2B5EF4-FFF2-40B4-BE49-F238E27FC236}">
              <a16:creationId xmlns:a16="http://schemas.microsoft.com/office/drawing/2014/main" id="{00000000-0008-0000-1500-00000C000000}"/>
            </a:ext>
          </a:extLst>
        </xdr:cNvPr>
        <xdr:cNvSpPr/>
      </xdr:nvSpPr>
      <xdr:spPr>
        <a:xfrm>
          <a:off x="8410575" y="390525"/>
          <a:ext cx="447675" cy="352425"/>
        </a:xfrm>
        <a:prstGeom prst="upArrow">
          <a:avLst/>
        </a:prstGeom>
        <a:solidFill>
          <a:srgbClr val="0070C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9525</xdr:colOff>
      <xdr:row>93</xdr:row>
      <xdr:rowOff>95250</xdr:rowOff>
    </xdr:from>
    <xdr:ext cx="396000" cy="396000"/>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24364950"/>
          <a:ext cx="396000" cy="396000"/>
        </a:xfrm>
        <a:prstGeom prst="rect">
          <a:avLst/>
        </a:prstGeom>
      </xdr:spPr>
    </xdr:pic>
    <xdr:clientData/>
  </xdr:oneCellAnchor>
  <xdr:twoCellAnchor>
    <xdr:from>
      <xdr:col>6</xdr:col>
      <xdr:colOff>695325</xdr:colOff>
      <xdr:row>90</xdr:row>
      <xdr:rowOff>142875</xdr:rowOff>
    </xdr:from>
    <xdr:to>
      <xdr:col>7</xdr:col>
      <xdr:colOff>1247775</xdr:colOff>
      <xdr:row>93</xdr:row>
      <xdr:rowOff>77475</xdr:rowOff>
    </xdr:to>
    <xdr:sp macro="" textlink="">
      <xdr:nvSpPr>
        <xdr:cNvPr id="14" name="Rectangle à coins arrondis 2">
          <a:hlinkClick xmlns:r="http://schemas.openxmlformats.org/officeDocument/2006/relationships" r:id="rId9" tooltip="Resources"/>
          <a:extLst>
            <a:ext uri="{FF2B5EF4-FFF2-40B4-BE49-F238E27FC236}">
              <a16:creationId xmlns:a16="http://schemas.microsoft.com/office/drawing/2014/main" id="{00000000-0008-0000-1500-00000E000000}"/>
            </a:ext>
          </a:extLst>
        </xdr:cNvPr>
        <xdr:cNvSpPr>
          <a:spLocks noChangeArrowheads="1"/>
        </xdr:cNvSpPr>
      </xdr:nvSpPr>
      <xdr:spPr bwMode="auto">
        <a:xfrm>
          <a:off x="7019925" y="19221450"/>
          <a:ext cx="1905000" cy="5061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Tables W.2 to W.6</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466723</xdr:colOff>
      <xdr:row>1</xdr:row>
      <xdr:rowOff>114300</xdr:rowOff>
    </xdr:from>
    <xdr:to>
      <xdr:col>6</xdr:col>
      <xdr:colOff>74998</xdr:colOff>
      <xdr:row>3</xdr:row>
      <xdr:rowOff>57300</xdr:rowOff>
    </xdr:to>
    <xdr:sp macro="" textlink="">
      <xdr:nvSpPr>
        <xdr:cNvPr id="6" name="Rectangle à coins arrondis 5">
          <a:hlinkClick xmlns:r="http://schemas.openxmlformats.org/officeDocument/2006/relationships" r:id="rId1" tooltip="Scorecard"/>
          <a:extLst>
            <a:ext uri="{FF2B5EF4-FFF2-40B4-BE49-F238E27FC236}">
              <a16:creationId xmlns:a16="http://schemas.microsoft.com/office/drawing/2014/main" id="{00000000-0008-0000-1600-000006000000}"/>
            </a:ext>
          </a:extLst>
        </xdr:cNvPr>
        <xdr:cNvSpPr>
          <a:spLocks noChangeArrowheads="1"/>
        </xdr:cNvSpPr>
      </xdr:nvSpPr>
      <xdr:spPr bwMode="auto">
        <a:xfrm>
          <a:off x="2838448" y="4095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0</xdr:col>
      <xdr:colOff>304799</xdr:colOff>
      <xdr:row>1</xdr:row>
      <xdr:rowOff>114300</xdr:rowOff>
    </xdr:from>
    <xdr:to>
      <xdr:col>2</xdr:col>
      <xdr:colOff>703649</xdr:colOff>
      <xdr:row>3</xdr:row>
      <xdr:rowOff>57300</xdr:rowOff>
    </xdr:to>
    <xdr:sp macro="" textlink="">
      <xdr:nvSpPr>
        <xdr:cNvPr id="5" name="Rectangle à coins arrondis 2">
          <a:hlinkClick xmlns:r="http://schemas.openxmlformats.org/officeDocument/2006/relationships" r:id="rId2" tooltip="Back to Water"/>
          <a:extLst>
            <a:ext uri="{FF2B5EF4-FFF2-40B4-BE49-F238E27FC236}">
              <a16:creationId xmlns:a16="http://schemas.microsoft.com/office/drawing/2014/main" id="{00000000-0008-0000-1600-000005000000}"/>
            </a:ext>
          </a:extLst>
        </xdr:cNvPr>
        <xdr:cNvSpPr>
          <a:spLocks noChangeArrowheads="1"/>
        </xdr:cNvSpPr>
      </xdr:nvSpPr>
      <xdr:spPr bwMode="auto">
        <a:xfrm>
          <a:off x="304799" y="409575"/>
          <a:ext cx="1980000"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Water</a:t>
          </a:r>
        </a:p>
      </xdr:txBody>
    </xdr:sp>
    <xdr:clientData/>
  </xdr:twoCellAnchor>
  <xdr:twoCellAnchor>
    <xdr:from>
      <xdr:col>8</xdr:col>
      <xdr:colOff>152400</xdr:colOff>
      <xdr:row>5</xdr:row>
      <xdr:rowOff>104775</xdr:rowOff>
    </xdr:from>
    <xdr:to>
      <xdr:col>10</xdr:col>
      <xdr:colOff>191250</xdr:colOff>
      <xdr:row>6</xdr:row>
      <xdr:rowOff>137700</xdr:rowOff>
    </xdr:to>
    <xdr:sp macro="" textlink="">
      <xdr:nvSpPr>
        <xdr:cNvPr id="4" name="Rectangle à coins arrondis 2">
          <a:hlinkClick xmlns:r="http://schemas.openxmlformats.org/officeDocument/2006/relationships" r:id="rId3" tooltip="Prescriptive Path"/>
          <a:extLst>
            <a:ext uri="{FF2B5EF4-FFF2-40B4-BE49-F238E27FC236}">
              <a16:creationId xmlns:a16="http://schemas.microsoft.com/office/drawing/2014/main" id="{00000000-0008-0000-1600-000004000000}"/>
            </a:ext>
          </a:extLst>
        </xdr:cNvPr>
        <xdr:cNvSpPr>
          <a:spLocks noChangeArrowheads="1"/>
        </xdr:cNvSpPr>
      </xdr:nvSpPr>
      <xdr:spPr bwMode="auto">
        <a:xfrm>
          <a:off x="6477000" y="1209675"/>
          <a:ext cx="1620000"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10</xdr:col>
      <xdr:colOff>600074</xdr:colOff>
      <xdr:row>5</xdr:row>
      <xdr:rowOff>104775</xdr:rowOff>
    </xdr:from>
    <xdr:to>
      <xdr:col>12</xdr:col>
      <xdr:colOff>638924</xdr:colOff>
      <xdr:row>6</xdr:row>
      <xdr:rowOff>137700</xdr:rowOff>
    </xdr:to>
    <xdr:sp macro="" textlink="">
      <xdr:nvSpPr>
        <xdr:cNvPr id="7" name="Rectangle à coins arrondis 2">
          <a:hlinkClick xmlns:r="http://schemas.openxmlformats.org/officeDocument/2006/relationships" r:id="rId4" tooltip="Performance Path"/>
          <a:extLst>
            <a:ext uri="{FF2B5EF4-FFF2-40B4-BE49-F238E27FC236}">
              <a16:creationId xmlns:a16="http://schemas.microsoft.com/office/drawing/2014/main" id="{00000000-0008-0000-1600-000007000000}"/>
            </a:ext>
          </a:extLst>
        </xdr:cNvPr>
        <xdr:cNvSpPr>
          <a:spLocks noChangeArrowheads="1"/>
        </xdr:cNvSpPr>
      </xdr:nvSpPr>
      <xdr:spPr bwMode="auto">
        <a:xfrm>
          <a:off x="8505824" y="1209675"/>
          <a:ext cx="1620000" cy="271050"/>
        </a:xfrm>
        <a:prstGeom prst="roundRect">
          <a:avLst>
            <a:gd name="adj" fmla="val 16667"/>
          </a:avLst>
        </a:prstGeom>
        <a:solidFill>
          <a:schemeClr val="accent1">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7</xdr:col>
      <xdr:colOff>428625</xdr:colOff>
      <xdr:row>5</xdr:row>
      <xdr:rowOff>114300</xdr:rowOff>
    </xdr:from>
    <xdr:to>
      <xdr:col>7</xdr:col>
      <xdr:colOff>752625</xdr:colOff>
      <xdr:row>6</xdr:row>
      <xdr:rowOff>147225</xdr:rowOff>
    </xdr:to>
    <xdr:sp macro="" textlink="">
      <xdr:nvSpPr>
        <xdr:cNvPr id="8" name="Flèche droite 7">
          <a:extLst>
            <a:ext uri="{FF2B5EF4-FFF2-40B4-BE49-F238E27FC236}">
              <a16:creationId xmlns:a16="http://schemas.microsoft.com/office/drawing/2014/main" id="{00000000-0008-0000-1600-000008000000}"/>
            </a:ext>
          </a:extLst>
        </xdr:cNvPr>
        <xdr:cNvSpPr/>
      </xdr:nvSpPr>
      <xdr:spPr>
        <a:xfrm>
          <a:off x="5962650" y="1257300"/>
          <a:ext cx="324000" cy="309150"/>
        </a:xfrm>
        <a:prstGeom prst="rightArrow">
          <a:avLst/>
        </a:prstGeom>
        <a:solidFill>
          <a:srgbClr val="0070C0"/>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10</xdr:col>
      <xdr:colOff>476250</xdr:colOff>
      <xdr:row>117</xdr:row>
      <xdr:rowOff>133348</xdr:rowOff>
    </xdr:from>
    <xdr:to>
      <xdr:col>14</xdr:col>
      <xdr:colOff>581025</xdr:colOff>
      <xdr:row>120</xdr:row>
      <xdr:rowOff>38099</xdr:rowOff>
    </xdr:to>
    <xdr:sp macro="" textlink="">
      <xdr:nvSpPr>
        <xdr:cNvPr id="9" name="Rectangle à coins arrondis 2">
          <a:hlinkClick xmlns:r="http://schemas.openxmlformats.org/officeDocument/2006/relationships" r:id="rId5" tooltip="Resources"/>
          <a:extLst>
            <a:ext uri="{FF2B5EF4-FFF2-40B4-BE49-F238E27FC236}">
              <a16:creationId xmlns:a16="http://schemas.microsoft.com/office/drawing/2014/main" id="{00000000-0008-0000-1600-000009000000}"/>
            </a:ext>
          </a:extLst>
        </xdr:cNvPr>
        <xdr:cNvSpPr>
          <a:spLocks noChangeArrowheads="1"/>
        </xdr:cNvSpPr>
      </xdr:nvSpPr>
      <xdr:spPr bwMode="auto">
        <a:xfrm>
          <a:off x="8382000" y="14554198"/>
          <a:ext cx="3267075" cy="476251"/>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typical values of the different parameters</a:t>
          </a:r>
        </a:p>
      </xdr:txBody>
    </xdr:sp>
    <xdr:clientData/>
  </xdr:twoCellAnchor>
  <xdr:oneCellAnchor>
    <xdr:from>
      <xdr:col>0</xdr:col>
      <xdr:colOff>323850</xdr:colOff>
      <xdr:row>94</xdr:row>
      <xdr:rowOff>95250</xdr:rowOff>
    </xdr:from>
    <xdr:ext cx="396000" cy="396000"/>
    <xdr:pic>
      <xdr:nvPicPr>
        <xdr:cNvPr id="14" name="Picture 13">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3850" y="19507200"/>
          <a:ext cx="396000" cy="396000"/>
        </a:xfrm>
        <a:prstGeom prst="rect">
          <a:avLst/>
        </a:prstGeom>
      </xdr:spPr>
    </xdr:pic>
    <xdr:clientData/>
  </xdr:oneCellAnchor>
  <xdr:twoCellAnchor editAs="oneCell">
    <xdr:from>
      <xdr:col>1</xdr:col>
      <xdr:colOff>57150</xdr:colOff>
      <xdr:row>99</xdr:row>
      <xdr:rowOff>47625</xdr:rowOff>
    </xdr:from>
    <xdr:to>
      <xdr:col>1</xdr:col>
      <xdr:colOff>597150</xdr:colOff>
      <xdr:row>102</xdr:row>
      <xdr:rowOff>16125</xdr:rowOff>
    </xdr:to>
    <xdr:pic>
      <xdr:nvPicPr>
        <xdr:cNvPr id="15" name="Picture 14">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0525" y="21583650"/>
          <a:ext cx="540000" cy="540000"/>
        </a:xfrm>
        <a:prstGeom prst="rect">
          <a:avLst/>
        </a:prstGeom>
      </xdr:spPr>
    </xdr:pic>
    <xdr:clientData/>
  </xdr:twoCellAnchor>
  <xdr:twoCellAnchor editAs="oneCell">
    <xdr:from>
      <xdr:col>1</xdr:col>
      <xdr:colOff>57150</xdr:colOff>
      <xdr:row>71</xdr:row>
      <xdr:rowOff>38100</xdr:rowOff>
    </xdr:from>
    <xdr:to>
      <xdr:col>1</xdr:col>
      <xdr:colOff>597150</xdr:colOff>
      <xdr:row>74</xdr:row>
      <xdr:rowOff>6600</xdr:rowOff>
    </xdr:to>
    <xdr:pic>
      <xdr:nvPicPr>
        <xdr:cNvPr id="16" name="Picture 15">
          <a:extLst>
            <a:ext uri="{FF2B5EF4-FFF2-40B4-BE49-F238E27FC236}">
              <a16:creationId xmlns:a16="http://schemas.microsoft.com/office/drawing/2014/main" id="{00000000-0008-0000-16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0525" y="13535025"/>
          <a:ext cx="540000" cy="540000"/>
        </a:xfrm>
        <a:prstGeom prst="rect">
          <a:avLst/>
        </a:prstGeom>
      </xdr:spPr>
    </xdr:pic>
    <xdr:clientData/>
  </xdr:twoCellAnchor>
  <xdr:twoCellAnchor editAs="oneCell">
    <xdr:from>
      <xdr:col>1</xdr:col>
      <xdr:colOff>38100</xdr:colOff>
      <xdr:row>27</xdr:row>
      <xdr:rowOff>38100</xdr:rowOff>
    </xdr:from>
    <xdr:to>
      <xdr:col>1</xdr:col>
      <xdr:colOff>578100</xdr:colOff>
      <xdr:row>30</xdr:row>
      <xdr:rowOff>6600</xdr:rowOff>
    </xdr:to>
    <xdr:pic>
      <xdr:nvPicPr>
        <xdr:cNvPr id="17" name="Picture 16">
          <a:extLst>
            <a:ext uri="{FF2B5EF4-FFF2-40B4-BE49-F238E27FC236}">
              <a16:creationId xmlns:a16="http://schemas.microsoft.com/office/drawing/2014/main" id="{00000000-0008-0000-16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1475" y="6362700"/>
          <a:ext cx="540000" cy="540000"/>
        </a:xfrm>
        <a:prstGeom prst="rect">
          <a:avLst/>
        </a:prstGeom>
      </xdr:spPr>
    </xdr:pic>
    <xdr:clientData/>
  </xdr:twoCellAnchor>
  <xdr:twoCellAnchor editAs="oneCell">
    <xdr:from>
      <xdr:col>1</xdr:col>
      <xdr:colOff>38100</xdr:colOff>
      <xdr:row>32</xdr:row>
      <xdr:rowOff>133350</xdr:rowOff>
    </xdr:from>
    <xdr:to>
      <xdr:col>1</xdr:col>
      <xdr:colOff>578100</xdr:colOff>
      <xdr:row>35</xdr:row>
      <xdr:rowOff>101850</xdr:rowOff>
    </xdr:to>
    <xdr:pic>
      <xdr:nvPicPr>
        <xdr:cNvPr id="18" name="Picture 17">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5" y="7600950"/>
          <a:ext cx="540000" cy="540000"/>
        </a:xfrm>
        <a:prstGeom prst="rect">
          <a:avLst/>
        </a:prstGeom>
      </xdr:spPr>
    </xdr:pic>
    <xdr:clientData/>
  </xdr:twoCellAnchor>
  <xdr:oneCellAnchor>
    <xdr:from>
      <xdr:col>1</xdr:col>
      <xdr:colOff>38100</xdr:colOff>
      <xdr:row>38</xdr:row>
      <xdr:rowOff>104775</xdr:rowOff>
    </xdr:from>
    <xdr:ext cx="360000" cy="360000"/>
    <xdr:pic>
      <xdr:nvPicPr>
        <xdr:cNvPr id="20" name="Picture 19">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71475" y="7372350"/>
          <a:ext cx="360000" cy="360000"/>
        </a:xfrm>
        <a:prstGeom prst="rect">
          <a:avLst/>
        </a:prstGeom>
      </xdr:spPr>
    </xdr:pic>
    <xdr:clientData/>
  </xdr:oneCellAnchor>
  <xdr:twoCellAnchor>
    <xdr:from>
      <xdr:col>12</xdr:col>
      <xdr:colOff>266700</xdr:colOff>
      <xdr:row>1</xdr:row>
      <xdr:rowOff>104775</xdr:rowOff>
    </xdr:from>
    <xdr:to>
      <xdr:col>12</xdr:col>
      <xdr:colOff>714375</xdr:colOff>
      <xdr:row>3</xdr:row>
      <xdr:rowOff>76200</xdr:rowOff>
    </xdr:to>
    <xdr:sp macro="" textlink="">
      <xdr:nvSpPr>
        <xdr:cNvPr id="19" name="Up Arrow 18">
          <a:hlinkClick xmlns:r="http://schemas.openxmlformats.org/officeDocument/2006/relationships" r:id="rId9" tooltip="Back to top"/>
          <a:extLst>
            <a:ext uri="{FF2B5EF4-FFF2-40B4-BE49-F238E27FC236}">
              <a16:creationId xmlns:a16="http://schemas.microsoft.com/office/drawing/2014/main" id="{00000000-0008-0000-1600-000013000000}"/>
            </a:ext>
          </a:extLst>
        </xdr:cNvPr>
        <xdr:cNvSpPr/>
      </xdr:nvSpPr>
      <xdr:spPr>
        <a:xfrm>
          <a:off x="9753600" y="400050"/>
          <a:ext cx="447675" cy="352425"/>
        </a:xfrm>
        <a:prstGeom prst="upArrow">
          <a:avLst/>
        </a:prstGeom>
        <a:solidFill>
          <a:srgbClr val="0070C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295274</xdr:colOff>
      <xdr:row>1</xdr:row>
      <xdr:rowOff>123825</xdr:rowOff>
    </xdr:from>
    <xdr:to>
      <xdr:col>2</xdr:col>
      <xdr:colOff>695325</xdr:colOff>
      <xdr:row>3</xdr:row>
      <xdr:rowOff>66825</xdr:rowOff>
    </xdr:to>
    <xdr:sp macro="" textlink="">
      <xdr:nvSpPr>
        <xdr:cNvPr id="11" name="Rectangle à coins arrondis 2">
          <a:hlinkClick xmlns:r="http://schemas.openxmlformats.org/officeDocument/2006/relationships" r:id="rId1" tooltip="Back to Water"/>
          <a:extLst>
            <a:ext uri="{FF2B5EF4-FFF2-40B4-BE49-F238E27FC236}">
              <a16:creationId xmlns:a16="http://schemas.microsoft.com/office/drawing/2014/main" id="{00000000-0008-0000-1700-00000B000000}"/>
            </a:ext>
          </a:extLst>
        </xdr:cNvPr>
        <xdr:cNvSpPr>
          <a:spLocks noChangeArrowheads="1"/>
        </xdr:cNvSpPr>
      </xdr:nvSpPr>
      <xdr:spPr bwMode="auto">
        <a:xfrm>
          <a:off x="295274" y="419100"/>
          <a:ext cx="1981201"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Water</a:t>
          </a:r>
        </a:p>
      </xdr:txBody>
    </xdr:sp>
    <xdr:clientData/>
  </xdr:twoCellAnchor>
  <xdr:twoCellAnchor>
    <xdr:from>
      <xdr:col>3</xdr:col>
      <xdr:colOff>19050</xdr:colOff>
      <xdr:row>1</xdr:row>
      <xdr:rowOff>123825</xdr:rowOff>
    </xdr:from>
    <xdr:to>
      <xdr:col>4</xdr:col>
      <xdr:colOff>884625</xdr:colOff>
      <xdr:row>3</xdr:row>
      <xdr:rowOff>66825</xdr:rowOff>
    </xdr:to>
    <xdr:sp macro="" textlink="">
      <xdr:nvSpPr>
        <xdr:cNvPr id="12" name="Rectangle à coins arrondis 11">
          <a:hlinkClick xmlns:r="http://schemas.openxmlformats.org/officeDocument/2006/relationships" r:id="rId2" tooltip="Scorecard"/>
          <a:extLst>
            <a:ext uri="{FF2B5EF4-FFF2-40B4-BE49-F238E27FC236}">
              <a16:creationId xmlns:a16="http://schemas.microsoft.com/office/drawing/2014/main" id="{00000000-0008-0000-1700-00000C000000}"/>
            </a:ext>
          </a:extLst>
        </xdr:cNvPr>
        <xdr:cNvSpPr>
          <a:spLocks noChangeArrowheads="1"/>
        </xdr:cNvSpPr>
      </xdr:nvSpPr>
      <xdr:spPr bwMode="auto">
        <a:xfrm>
          <a:off x="2847975" y="41910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57150</xdr:colOff>
      <xdr:row>16</xdr:row>
      <xdr:rowOff>123825</xdr:rowOff>
    </xdr:from>
    <xdr:to>
      <xdr:col>1</xdr:col>
      <xdr:colOff>597150</xdr:colOff>
      <xdr:row>19</xdr:row>
      <xdr:rowOff>92325</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0525" y="3562350"/>
          <a:ext cx="540000" cy="540000"/>
        </a:xfrm>
        <a:prstGeom prst="rect">
          <a:avLst/>
        </a:prstGeom>
      </xdr:spPr>
    </xdr:pic>
    <xdr:clientData/>
  </xdr:twoCellAnchor>
  <xdr:twoCellAnchor editAs="oneCell">
    <xdr:from>
      <xdr:col>1</xdr:col>
      <xdr:colOff>38100</xdr:colOff>
      <xdr:row>21</xdr:row>
      <xdr:rowOff>104775</xdr:rowOff>
    </xdr:from>
    <xdr:to>
      <xdr:col>1</xdr:col>
      <xdr:colOff>398100</xdr:colOff>
      <xdr:row>23</xdr:row>
      <xdr:rowOff>83775</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1475" y="4657725"/>
          <a:ext cx="360000" cy="360000"/>
        </a:xfrm>
        <a:prstGeom prst="rect">
          <a:avLst/>
        </a:prstGeom>
      </xdr:spPr>
    </xdr:pic>
    <xdr:clientData/>
  </xdr:twoCellAnchor>
  <xdr:twoCellAnchor>
    <xdr:from>
      <xdr:col>7</xdr:col>
      <xdr:colOff>1190625</xdr:colOff>
      <xdr:row>1</xdr:row>
      <xdr:rowOff>114300</xdr:rowOff>
    </xdr:from>
    <xdr:to>
      <xdr:col>8</xdr:col>
      <xdr:colOff>142875</xdr:colOff>
      <xdr:row>3</xdr:row>
      <xdr:rowOff>85725</xdr:rowOff>
    </xdr:to>
    <xdr:sp macro="" textlink="">
      <xdr:nvSpPr>
        <xdr:cNvPr id="14" name="Up Arrow 13">
          <a:hlinkClick xmlns:r="http://schemas.openxmlformats.org/officeDocument/2006/relationships" r:id="rId5" tooltip="Back to top"/>
          <a:extLst>
            <a:ext uri="{FF2B5EF4-FFF2-40B4-BE49-F238E27FC236}">
              <a16:creationId xmlns:a16="http://schemas.microsoft.com/office/drawing/2014/main" id="{00000000-0008-0000-1700-00000E000000}"/>
            </a:ext>
          </a:extLst>
        </xdr:cNvPr>
        <xdr:cNvSpPr/>
      </xdr:nvSpPr>
      <xdr:spPr>
        <a:xfrm>
          <a:off x="8867775" y="409575"/>
          <a:ext cx="447675" cy="352425"/>
        </a:xfrm>
        <a:prstGeom prst="upArrow">
          <a:avLst/>
        </a:prstGeom>
        <a:solidFill>
          <a:srgbClr val="0070C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257174</xdr:colOff>
      <xdr:row>1</xdr:row>
      <xdr:rowOff>133350</xdr:rowOff>
    </xdr:from>
    <xdr:to>
      <xdr:col>2</xdr:col>
      <xdr:colOff>675074</xdr:colOff>
      <xdr:row>3</xdr:row>
      <xdr:rowOff>76350</xdr:rowOff>
    </xdr:to>
    <xdr:sp macro="" textlink="">
      <xdr:nvSpPr>
        <xdr:cNvPr id="2" name="Rectangle à coins arrondis 2">
          <a:hlinkClick xmlns:r="http://schemas.openxmlformats.org/officeDocument/2006/relationships" r:id="rId1" tooltip="Back to Water"/>
          <a:extLst>
            <a:ext uri="{FF2B5EF4-FFF2-40B4-BE49-F238E27FC236}">
              <a16:creationId xmlns:a16="http://schemas.microsoft.com/office/drawing/2014/main" id="{00000000-0008-0000-1800-000002000000}"/>
            </a:ext>
          </a:extLst>
        </xdr:cNvPr>
        <xdr:cNvSpPr>
          <a:spLocks noChangeArrowheads="1"/>
        </xdr:cNvSpPr>
      </xdr:nvSpPr>
      <xdr:spPr bwMode="auto">
        <a:xfrm>
          <a:off x="257174" y="428625"/>
          <a:ext cx="1980000"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Water</a:t>
          </a:r>
        </a:p>
      </xdr:txBody>
    </xdr:sp>
    <xdr:clientData/>
  </xdr:twoCellAnchor>
  <xdr:twoCellAnchor>
    <xdr:from>
      <xdr:col>2</xdr:col>
      <xdr:colOff>933450</xdr:colOff>
      <xdr:row>1</xdr:row>
      <xdr:rowOff>133350</xdr:rowOff>
    </xdr:from>
    <xdr:to>
      <xdr:col>4</xdr:col>
      <xdr:colOff>636975</xdr:colOff>
      <xdr:row>3</xdr:row>
      <xdr:rowOff>76350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1800-000003000000}"/>
            </a:ext>
          </a:extLst>
        </xdr:cNvPr>
        <xdr:cNvSpPr>
          <a:spLocks noChangeArrowheads="1"/>
        </xdr:cNvSpPr>
      </xdr:nvSpPr>
      <xdr:spPr bwMode="auto">
        <a:xfrm>
          <a:off x="2495550" y="42862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5</xdr:col>
      <xdr:colOff>533399</xdr:colOff>
      <xdr:row>1</xdr:row>
      <xdr:rowOff>161925</xdr:rowOff>
    </xdr:from>
    <xdr:to>
      <xdr:col>6</xdr:col>
      <xdr:colOff>375149</xdr:colOff>
      <xdr:row>3</xdr:row>
      <xdr:rowOff>68925</xdr:rowOff>
    </xdr:to>
    <xdr:sp macro="" textlink="">
      <xdr:nvSpPr>
        <xdr:cNvPr id="4" name="Rectangle à coins arrondis 2">
          <a:hlinkClick xmlns:r="http://schemas.openxmlformats.org/officeDocument/2006/relationships" r:id="rId3" tooltip="W-BPC-1"/>
          <a:extLst>
            <a:ext uri="{FF2B5EF4-FFF2-40B4-BE49-F238E27FC236}">
              <a16:creationId xmlns:a16="http://schemas.microsoft.com/office/drawing/2014/main" id="{00000000-0008-0000-1800-000004000000}"/>
            </a:ext>
          </a:extLst>
        </xdr:cNvPr>
        <xdr:cNvSpPr>
          <a:spLocks noChangeArrowheads="1"/>
        </xdr:cNvSpPr>
      </xdr:nvSpPr>
      <xdr:spPr bwMode="auto">
        <a:xfrm>
          <a:off x="5600699" y="457200"/>
          <a:ext cx="108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W-BPC-1</a:t>
          </a:r>
        </a:p>
      </xdr:txBody>
    </xdr:sp>
    <xdr:clientData/>
  </xdr:twoCellAnchor>
  <xdr:twoCellAnchor>
    <xdr:from>
      <xdr:col>6</xdr:col>
      <xdr:colOff>571500</xdr:colOff>
      <xdr:row>1</xdr:row>
      <xdr:rowOff>161925</xdr:rowOff>
    </xdr:from>
    <xdr:to>
      <xdr:col>7</xdr:col>
      <xdr:colOff>403725</xdr:colOff>
      <xdr:row>3</xdr:row>
      <xdr:rowOff>68925</xdr:rowOff>
    </xdr:to>
    <xdr:sp macro="" textlink="">
      <xdr:nvSpPr>
        <xdr:cNvPr id="5" name="Rectangle à coins arrondis 2">
          <a:hlinkClick xmlns:r="http://schemas.openxmlformats.org/officeDocument/2006/relationships" r:id="rId4" tooltip="W-BPC-2"/>
          <a:extLst>
            <a:ext uri="{FF2B5EF4-FFF2-40B4-BE49-F238E27FC236}">
              <a16:creationId xmlns:a16="http://schemas.microsoft.com/office/drawing/2014/main" id="{00000000-0008-0000-1800-000005000000}"/>
            </a:ext>
          </a:extLst>
        </xdr:cNvPr>
        <xdr:cNvSpPr>
          <a:spLocks noChangeArrowheads="1"/>
        </xdr:cNvSpPr>
      </xdr:nvSpPr>
      <xdr:spPr bwMode="auto">
        <a:xfrm>
          <a:off x="6877050" y="457200"/>
          <a:ext cx="108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W-BPC-2</a:t>
          </a:r>
        </a:p>
      </xdr:txBody>
    </xdr:sp>
    <xdr:clientData/>
  </xdr:twoCellAnchor>
  <xdr:twoCellAnchor editAs="oneCell">
    <xdr:from>
      <xdr:col>1</xdr:col>
      <xdr:colOff>9525</xdr:colOff>
      <xdr:row>17</xdr:row>
      <xdr:rowOff>95250</xdr:rowOff>
    </xdr:from>
    <xdr:to>
      <xdr:col>1</xdr:col>
      <xdr:colOff>405525</xdr:colOff>
      <xdr:row>19</xdr:row>
      <xdr:rowOff>110250</xdr:rowOff>
    </xdr:to>
    <xdr:pic>
      <xdr:nvPicPr>
        <xdr:cNvPr id="9" name="Picture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4325" y="3895725"/>
          <a:ext cx="396000" cy="396000"/>
        </a:xfrm>
        <a:prstGeom prst="rect">
          <a:avLst/>
        </a:prstGeom>
      </xdr:spPr>
    </xdr:pic>
    <xdr:clientData/>
  </xdr:twoCellAnchor>
  <xdr:twoCellAnchor editAs="oneCell">
    <xdr:from>
      <xdr:col>1</xdr:col>
      <xdr:colOff>38100</xdr:colOff>
      <xdr:row>26</xdr:row>
      <xdr:rowOff>104775</xdr:rowOff>
    </xdr:from>
    <xdr:to>
      <xdr:col>1</xdr:col>
      <xdr:colOff>398100</xdr:colOff>
      <xdr:row>28</xdr:row>
      <xdr:rowOff>83775</xdr:rowOff>
    </xdr:to>
    <xdr:pic>
      <xdr:nvPicPr>
        <xdr:cNvPr id="10" name="Picture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2900" y="5619750"/>
          <a:ext cx="360000" cy="360000"/>
        </a:xfrm>
        <a:prstGeom prst="rect">
          <a:avLst/>
        </a:prstGeom>
      </xdr:spPr>
    </xdr:pic>
    <xdr:clientData/>
  </xdr:twoCellAnchor>
  <xdr:twoCellAnchor editAs="oneCell">
    <xdr:from>
      <xdr:col>1</xdr:col>
      <xdr:colOff>0</xdr:colOff>
      <xdr:row>52</xdr:row>
      <xdr:rowOff>104775</xdr:rowOff>
    </xdr:from>
    <xdr:to>
      <xdr:col>1</xdr:col>
      <xdr:colOff>396000</xdr:colOff>
      <xdr:row>54</xdr:row>
      <xdr:rowOff>119775</xdr:rowOff>
    </xdr:to>
    <xdr:pic>
      <xdr:nvPicPr>
        <xdr:cNvPr id="11" name="Picture 10">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4800" y="11449050"/>
          <a:ext cx="396000" cy="396000"/>
        </a:xfrm>
        <a:prstGeom prst="rect">
          <a:avLst/>
        </a:prstGeom>
      </xdr:spPr>
    </xdr:pic>
    <xdr:clientData/>
  </xdr:twoCellAnchor>
  <xdr:oneCellAnchor>
    <xdr:from>
      <xdr:col>1</xdr:col>
      <xdr:colOff>38100</xdr:colOff>
      <xdr:row>54</xdr:row>
      <xdr:rowOff>161925</xdr:rowOff>
    </xdr:from>
    <xdr:ext cx="360000" cy="360000"/>
    <xdr:pic>
      <xdr:nvPicPr>
        <xdr:cNvPr id="12" name="Picture 11">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2900" y="11887200"/>
          <a:ext cx="360000" cy="360000"/>
        </a:xfrm>
        <a:prstGeom prst="rect">
          <a:avLst/>
        </a:prstGeom>
      </xdr:spPr>
    </xdr:pic>
    <xdr:clientData/>
  </xdr:oneCellAnchor>
  <xdr:twoCellAnchor editAs="oneCell">
    <xdr:from>
      <xdr:col>1</xdr:col>
      <xdr:colOff>47625</xdr:colOff>
      <xdr:row>21</xdr:row>
      <xdr:rowOff>114300</xdr:rowOff>
    </xdr:from>
    <xdr:to>
      <xdr:col>1</xdr:col>
      <xdr:colOff>587625</xdr:colOff>
      <xdr:row>24</xdr:row>
      <xdr:rowOff>82800</xdr:rowOff>
    </xdr:to>
    <xdr:pic>
      <xdr:nvPicPr>
        <xdr:cNvPr id="14" name="Picture 13">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4676775"/>
          <a:ext cx="540000" cy="540000"/>
        </a:xfrm>
        <a:prstGeom prst="rect">
          <a:avLst/>
        </a:prstGeom>
      </xdr:spPr>
    </xdr:pic>
    <xdr:clientData/>
  </xdr:twoCellAnchor>
  <xdr:twoCellAnchor>
    <xdr:from>
      <xdr:col>8</xdr:col>
      <xdr:colOff>342900</xdr:colOff>
      <xdr:row>1</xdr:row>
      <xdr:rowOff>104775</xdr:rowOff>
    </xdr:from>
    <xdr:to>
      <xdr:col>8</xdr:col>
      <xdr:colOff>790575</xdr:colOff>
      <xdr:row>3</xdr:row>
      <xdr:rowOff>76200</xdr:rowOff>
    </xdr:to>
    <xdr:sp macro="" textlink="">
      <xdr:nvSpPr>
        <xdr:cNvPr id="15" name="Up Arrow 14">
          <a:hlinkClick xmlns:r="http://schemas.openxmlformats.org/officeDocument/2006/relationships" r:id="rId8" tooltip="Back to top"/>
          <a:extLst>
            <a:ext uri="{FF2B5EF4-FFF2-40B4-BE49-F238E27FC236}">
              <a16:creationId xmlns:a16="http://schemas.microsoft.com/office/drawing/2014/main" id="{00000000-0008-0000-1800-00000F000000}"/>
            </a:ext>
          </a:extLst>
        </xdr:cNvPr>
        <xdr:cNvSpPr/>
      </xdr:nvSpPr>
      <xdr:spPr>
        <a:xfrm>
          <a:off x="9144000" y="400050"/>
          <a:ext cx="447675" cy="352425"/>
        </a:xfrm>
        <a:prstGeom prst="upArrow">
          <a:avLst/>
        </a:prstGeom>
        <a:solidFill>
          <a:srgbClr val="0070C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137583</xdr:colOff>
      <xdr:row>0</xdr:row>
      <xdr:rowOff>42333</xdr:rowOff>
    </xdr:from>
    <xdr:to>
      <xdr:col>11</xdr:col>
      <xdr:colOff>226525</xdr:colOff>
      <xdr:row>2</xdr:row>
      <xdr:rowOff>180333</xdr:rowOff>
    </xdr:to>
    <xdr:pic>
      <xdr:nvPicPr>
        <xdr:cNvPr id="4" name="Image 2" descr="Materials.png">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9535583" y="42333"/>
          <a:ext cx="882692" cy="90000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1980000</xdr:colOff>
      <xdr:row>14</xdr:row>
      <xdr:rowOff>15000</xdr:rowOff>
    </xdr:to>
    <xdr:sp macro="" textlink="">
      <xdr:nvSpPr>
        <xdr:cNvPr id="7" name="Rectangle à coins arrondis 2">
          <a:hlinkClick xmlns:r="http://schemas.openxmlformats.org/officeDocument/2006/relationships" r:id="rId2" tooltip="Scorecard"/>
          <a:extLst>
            <a:ext uri="{FF2B5EF4-FFF2-40B4-BE49-F238E27FC236}">
              <a16:creationId xmlns:a16="http://schemas.microsoft.com/office/drawing/2014/main" id="{00000000-0008-0000-1900-000007000000}"/>
            </a:ext>
          </a:extLst>
        </xdr:cNvPr>
        <xdr:cNvSpPr>
          <a:spLocks noChangeArrowheads="1"/>
        </xdr:cNvSpPr>
      </xdr:nvSpPr>
      <xdr:spPr bwMode="auto">
        <a:xfrm>
          <a:off x="381000" y="3503083"/>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123825</xdr:colOff>
      <xdr:row>1</xdr:row>
      <xdr:rowOff>133350</xdr:rowOff>
    </xdr:from>
    <xdr:to>
      <xdr:col>2</xdr:col>
      <xdr:colOff>740775</xdr:colOff>
      <xdr:row>3</xdr:row>
      <xdr:rowOff>76350</xdr:rowOff>
    </xdr:to>
    <xdr:sp macro="" textlink="">
      <xdr:nvSpPr>
        <xdr:cNvPr id="3" name="Rectangle à coins arrondis 2">
          <a:hlinkClick xmlns:r="http://schemas.openxmlformats.org/officeDocument/2006/relationships" r:id="rId1" tooltip="Back to Materials"/>
          <a:extLst>
            <a:ext uri="{FF2B5EF4-FFF2-40B4-BE49-F238E27FC236}">
              <a16:creationId xmlns:a16="http://schemas.microsoft.com/office/drawing/2014/main" id="{00000000-0008-0000-1A00-000003000000}"/>
            </a:ext>
          </a:extLst>
        </xdr:cNvPr>
        <xdr:cNvSpPr>
          <a:spLocks noChangeArrowheads="1"/>
        </xdr:cNvSpPr>
      </xdr:nvSpPr>
      <xdr:spPr bwMode="auto">
        <a:xfrm>
          <a:off x="371475" y="438150"/>
          <a:ext cx="21600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xdr:from>
      <xdr:col>2</xdr:col>
      <xdr:colOff>1181100</xdr:colOff>
      <xdr:row>1</xdr:row>
      <xdr:rowOff>133350</xdr:rowOff>
    </xdr:from>
    <xdr:to>
      <xdr:col>4</xdr:col>
      <xdr:colOff>550275</xdr:colOff>
      <xdr:row>3</xdr:row>
      <xdr:rowOff>76350</xdr:rowOff>
    </xdr:to>
    <xdr:sp macro="" textlink="">
      <xdr:nvSpPr>
        <xdr:cNvPr id="4" name="Rectangle à coins arrondis 3">
          <a:hlinkClick xmlns:r="http://schemas.openxmlformats.org/officeDocument/2006/relationships" r:id="rId2" tooltip="Scorecard"/>
          <a:extLst>
            <a:ext uri="{FF2B5EF4-FFF2-40B4-BE49-F238E27FC236}">
              <a16:creationId xmlns:a16="http://schemas.microsoft.com/office/drawing/2014/main" id="{00000000-0008-0000-1A00-000004000000}"/>
            </a:ext>
          </a:extLst>
        </xdr:cNvPr>
        <xdr:cNvSpPr>
          <a:spLocks noChangeArrowheads="1"/>
        </xdr:cNvSpPr>
      </xdr:nvSpPr>
      <xdr:spPr bwMode="auto">
        <a:xfrm>
          <a:off x="2971800" y="4381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19050</xdr:colOff>
      <xdr:row>27</xdr:row>
      <xdr:rowOff>0</xdr:rowOff>
    </xdr:from>
    <xdr:to>
      <xdr:col>1</xdr:col>
      <xdr:colOff>639768</xdr:colOff>
      <xdr:row>30</xdr:row>
      <xdr:rowOff>40500</xdr:rowOff>
    </xdr:to>
    <xdr:pic>
      <xdr:nvPicPr>
        <xdr:cNvPr id="5" name="Picture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700" y="5867400"/>
          <a:ext cx="620718" cy="612000"/>
        </a:xfrm>
        <a:prstGeom prst="rect">
          <a:avLst/>
        </a:prstGeom>
      </xdr:spPr>
    </xdr:pic>
    <xdr:clientData/>
  </xdr:twoCellAnchor>
  <xdr:twoCellAnchor editAs="oneCell">
    <xdr:from>
      <xdr:col>1</xdr:col>
      <xdr:colOff>38100</xdr:colOff>
      <xdr:row>36</xdr:row>
      <xdr:rowOff>133350</xdr:rowOff>
    </xdr:from>
    <xdr:to>
      <xdr:col>1</xdr:col>
      <xdr:colOff>434100</xdr:colOff>
      <xdr:row>38</xdr:row>
      <xdr:rowOff>100725</xdr:rowOff>
    </xdr:to>
    <xdr:pic>
      <xdr:nvPicPr>
        <xdr:cNvPr id="6" name="Picture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7791450"/>
          <a:ext cx="396000" cy="396000"/>
        </a:xfrm>
        <a:prstGeom prst="rect">
          <a:avLst/>
        </a:prstGeom>
      </xdr:spPr>
    </xdr:pic>
    <xdr:clientData/>
  </xdr:twoCellAnchor>
  <xdr:twoCellAnchor editAs="oneCell">
    <xdr:from>
      <xdr:col>1</xdr:col>
      <xdr:colOff>19050</xdr:colOff>
      <xdr:row>16</xdr:row>
      <xdr:rowOff>152400</xdr:rowOff>
    </xdr:from>
    <xdr:to>
      <xdr:col>1</xdr:col>
      <xdr:colOff>415050</xdr:colOff>
      <xdr:row>18</xdr:row>
      <xdr:rowOff>167400</xdr:rowOff>
    </xdr:to>
    <xdr:pic>
      <xdr:nvPicPr>
        <xdr:cNvPr id="7" name="Picture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6700" y="3924300"/>
          <a:ext cx="396000" cy="396000"/>
        </a:xfrm>
        <a:prstGeom prst="rect">
          <a:avLst/>
        </a:prstGeom>
      </xdr:spPr>
    </xdr:pic>
    <xdr:clientData/>
  </xdr:twoCellAnchor>
  <xdr:twoCellAnchor editAs="oneCell">
    <xdr:from>
      <xdr:col>1</xdr:col>
      <xdr:colOff>28575</xdr:colOff>
      <xdr:row>14</xdr:row>
      <xdr:rowOff>95250</xdr:rowOff>
    </xdr:from>
    <xdr:to>
      <xdr:col>1</xdr:col>
      <xdr:colOff>424575</xdr:colOff>
      <xdr:row>16</xdr:row>
      <xdr:rowOff>110250</xdr:rowOff>
    </xdr:to>
    <xdr:pic>
      <xdr:nvPicPr>
        <xdr:cNvPr id="8" name="Picture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5" y="3486150"/>
          <a:ext cx="396000" cy="396000"/>
        </a:xfrm>
        <a:prstGeom prst="rect">
          <a:avLst/>
        </a:prstGeom>
      </xdr:spPr>
    </xdr:pic>
    <xdr:clientData/>
  </xdr:twoCellAnchor>
  <xdr:twoCellAnchor editAs="oneCell">
    <xdr:from>
      <xdr:col>1</xdr:col>
      <xdr:colOff>28575</xdr:colOff>
      <xdr:row>34</xdr:row>
      <xdr:rowOff>85725</xdr:rowOff>
    </xdr:from>
    <xdr:to>
      <xdr:col>1</xdr:col>
      <xdr:colOff>424575</xdr:colOff>
      <xdr:row>36</xdr:row>
      <xdr:rowOff>100725</xdr:rowOff>
    </xdr:to>
    <xdr:pic>
      <xdr:nvPicPr>
        <xdr:cNvPr id="9" name="Picture 8">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6225" y="7362825"/>
          <a:ext cx="396000" cy="396000"/>
        </a:xfrm>
        <a:prstGeom prst="rect">
          <a:avLst/>
        </a:prstGeom>
      </xdr:spPr>
    </xdr:pic>
    <xdr:clientData/>
  </xdr:twoCellAnchor>
  <xdr:twoCellAnchor>
    <xdr:from>
      <xdr:col>6</xdr:col>
      <xdr:colOff>1143000</xdr:colOff>
      <xdr:row>1</xdr:row>
      <xdr:rowOff>104775</xdr:rowOff>
    </xdr:from>
    <xdr:to>
      <xdr:col>7</xdr:col>
      <xdr:colOff>409575</xdr:colOff>
      <xdr:row>3</xdr:row>
      <xdr:rowOff>76200</xdr:rowOff>
    </xdr:to>
    <xdr:sp macro="" textlink="">
      <xdr:nvSpPr>
        <xdr:cNvPr id="10" name="Up Arrow 9">
          <a:hlinkClick xmlns:r="http://schemas.openxmlformats.org/officeDocument/2006/relationships" r:id="rId7" tooltip="Back to top"/>
          <a:extLst>
            <a:ext uri="{FF2B5EF4-FFF2-40B4-BE49-F238E27FC236}">
              <a16:creationId xmlns:a16="http://schemas.microsoft.com/office/drawing/2014/main" id="{00000000-0008-0000-1A00-00000A000000}"/>
            </a:ext>
          </a:extLst>
        </xdr:cNvPr>
        <xdr:cNvSpPr/>
      </xdr:nvSpPr>
      <xdr:spPr>
        <a:xfrm>
          <a:off x="8115300" y="40957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1190625</xdr:colOff>
      <xdr:row>1</xdr:row>
      <xdr:rowOff>133350</xdr:rowOff>
    </xdr:from>
    <xdr:to>
      <xdr:col>4</xdr:col>
      <xdr:colOff>559800</xdr:colOff>
      <xdr:row>3</xdr:row>
      <xdr:rowOff>76350</xdr:rowOff>
    </xdr:to>
    <xdr:sp macro="" textlink="">
      <xdr:nvSpPr>
        <xdr:cNvPr id="3" name="Rectangle à coins arrondis 2">
          <a:hlinkClick xmlns:r="http://schemas.openxmlformats.org/officeDocument/2006/relationships" r:id="rId1" tooltip="Scorecard"/>
          <a:extLst>
            <a:ext uri="{FF2B5EF4-FFF2-40B4-BE49-F238E27FC236}">
              <a16:creationId xmlns:a16="http://schemas.microsoft.com/office/drawing/2014/main" id="{00000000-0008-0000-1B00-000003000000}"/>
            </a:ext>
          </a:extLst>
        </xdr:cNvPr>
        <xdr:cNvSpPr>
          <a:spLocks noChangeArrowheads="1"/>
        </xdr:cNvSpPr>
      </xdr:nvSpPr>
      <xdr:spPr bwMode="auto">
        <a:xfrm>
          <a:off x="2981325" y="4381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114300</xdr:colOff>
      <xdr:row>1</xdr:row>
      <xdr:rowOff>133350</xdr:rowOff>
    </xdr:from>
    <xdr:to>
      <xdr:col>2</xdr:col>
      <xdr:colOff>731250</xdr:colOff>
      <xdr:row>3</xdr:row>
      <xdr:rowOff>76350</xdr:rowOff>
    </xdr:to>
    <xdr:sp macro="" textlink="">
      <xdr:nvSpPr>
        <xdr:cNvPr id="4" name="Rectangle à coins arrondis 3">
          <a:hlinkClick xmlns:r="http://schemas.openxmlformats.org/officeDocument/2006/relationships" r:id="rId2" tooltip="Back to Materials"/>
          <a:extLst>
            <a:ext uri="{FF2B5EF4-FFF2-40B4-BE49-F238E27FC236}">
              <a16:creationId xmlns:a16="http://schemas.microsoft.com/office/drawing/2014/main" id="{00000000-0008-0000-1B00-000004000000}"/>
            </a:ext>
          </a:extLst>
        </xdr:cNvPr>
        <xdr:cNvSpPr>
          <a:spLocks noChangeArrowheads="1"/>
        </xdr:cNvSpPr>
      </xdr:nvSpPr>
      <xdr:spPr bwMode="auto">
        <a:xfrm>
          <a:off x="361950" y="438150"/>
          <a:ext cx="21600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28575</xdr:colOff>
      <xdr:row>28</xdr:row>
      <xdr:rowOff>180975</xdr:rowOff>
    </xdr:from>
    <xdr:to>
      <xdr:col>1</xdr:col>
      <xdr:colOff>649293</xdr:colOff>
      <xdr:row>32</xdr:row>
      <xdr:rowOff>30975</xdr:rowOff>
    </xdr:to>
    <xdr:pic>
      <xdr:nvPicPr>
        <xdr:cNvPr id="5" name="Picture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225" y="6219825"/>
          <a:ext cx="620718" cy="612000"/>
        </a:xfrm>
        <a:prstGeom prst="rect">
          <a:avLst/>
        </a:prstGeom>
      </xdr:spPr>
    </xdr:pic>
    <xdr:clientData/>
  </xdr:twoCellAnchor>
  <xdr:twoCellAnchor editAs="oneCell">
    <xdr:from>
      <xdr:col>1</xdr:col>
      <xdr:colOff>38100</xdr:colOff>
      <xdr:row>23</xdr:row>
      <xdr:rowOff>0</xdr:rowOff>
    </xdr:from>
    <xdr:to>
      <xdr:col>1</xdr:col>
      <xdr:colOff>434100</xdr:colOff>
      <xdr:row>25</xdr:row>
      <xdr:rowOff>15000</xdr:rowOff>
    </xdr:to>
    <xdr:pic>
      <xdr:nvPicPr>
        <xdr:cNvPr id="6" name="Picture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5000625"/>
          <a:ext cx="396000" cy="396000"/>
        </a:xfrm>
        <a:prstGeom prst="rect">
          <a:avLst/>
        </a:prstGeom>
      </xdr:spPr>
    </xdr:pic>
    <xdr:clientData/>
  </xdr:twoCellAnchor>
  <xdr:twoCellAnchor editAs="oneCell">
    <xdr:from>
      <xdr:col>1</xdr:col>
      <xdr:colOff>28575</xdr:colOff>
      <xdr:row>14</xdr:row>
      <xdr:rowOff>95250</xdr:rowOff>
    </xdr:from>
    <xdr:to>
      <xdr:col>1</xdr:col>
      <xdr:colOff>424575</xdr:colOff>
      <xdr:row>16</xdr:row>
      <xdr:rowOff>110250</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6225" y="3486150"/>
          <a:ext cx="396000" cy="396000"/>
        </a:xfrm>
        <a:prstGeom prst="rect">
          <a:avLst/>
        </a:prstGeom>
      </xdr:spPr>
    </xdr:pic>
    <xdr:clientData/>
  </xdr:twoCellAnchor>
  <xdr:twoCellAnchor editAs="oneCell">
    <xdr:from>
      <xdr:col>1</xdr:col>
      <xdr:colOff>38100</xdr:colOff>
      <xdr:row>16</xdr:row>
      <xdr:rowOff>190500</xdr:rowOff>
    </xdr:from>
    <xdr:to>
      <xdr:col>1</xdr:col>
      <xdr:colOff>434100</xdr:colOff>
      <xdr:row>18</xdr:row>
      <xdr:rowOff>186450</xdr:rowOff>
    </xdr:to>
    <xdr:pic>
      <xdr:nvPicPr>
        <xdr:cNvPr id="8" name="Picture 7">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3857625"/>
          <a:ext cx="396000" cy="396000"/>
        </a:xfrm>
        <a:prstGeom prst="rect">
          <a:avLst/>
        </a:prstGeom>
      </xdr:spPr>
    </xdr:pic>
    <xdr:clientData/>
  </xdr:twoCellAnchor>
  <xdr:twoCellAnchor editAs="oneCell">
    <xdr:from>
      <xdr:col>1</xdr:col>
      <xdr:colOff>0</xdr:colOff>
      <xdr:row>37</xdr:row>
      <xdr:rowOff>95250</xdr:rowOff>
    </xdr:from>
    <xdr:to>
      <xdr:col>1</xdr:col>
      <xdr:colOff>396000</xdr:colOff>
      <xdr:row>39</xdr:row>
      <xdr:rowOff>110250</xdr:rowOff>
    </xdr:to>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7686675"/>
          <a:ext cx="396000" cy="396000"/>
        </a:xfrm>
        <a:prstGeom prst="rect">
          <a:avLst/>
        </a:prstGeom>
      </xdr:spPr>
    </xdr:pic>
    <xdr:clientData/>
  </xdr:twoCellAnchor>
  <xdr:twoCellAnchor editAs="oneCell">
    <xdr:from>
      <xdr:col>1</xdr:col>
      <xdr:colOff>3</xdr:colOff>
      <xdr:row>40</xdr:row>
      <xdr:rowOff>76200</xdr:rowOff>
    </xdr:from>
    <xdr:to>
      <xdr:col>1</xdr:col>
      <xdr:colOff>438156</xdr:colOff>
      <xdr:row>42</xdr:row>
      <xdr:rowOff>127200</xdr:rowOff>
    </xdr:to>
    <xdr:pic>
      <xdr:nvPicPr>
        <xdr:cNvPr id="10" name="Picture 9">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7653" y="8239125"/>
          <a:ext cx="438153" cy="432000"/>
        </a:xfrm>
        <a:prstGeom prst="rect">
          <a:avLst/>
        </a:prstGeom>
      </xdr:spPr>
    </xdr:pic>
    <xdr:clientData/>
  </xdr:twoCellAnchor>
  <xdr:twoCellAnchor editAs="oneCell">
    <xdr:from>
      <xdr:col>1</xdr:col>
      <xdr:colOff>28575</xdr:colOff>
      <xdr:row>43</xdr:row>
      <xdr:rowOff>85725</xdr:rowOff>
    </xdr:from>
    <xdr:to>
      <xdr:col>1</xdr:col>
      <xdr:colOff>424575</xdr:colOff>
      <xdr:row>45</xdr:row>
      <xdr:rowOff>100725</xdr:rowOff>
    </xdr:to>
    <xdr:pic>
      <xdr:nvPicPr>
        <xdr:cNvPr id="11" name="Picture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5" y="8820150"/>
          <a:ext cx="396000" cy="396000"/>
        </a:xfrm>
        <a:prstGeom prst="rect">
          <a:avLst/>
        </a:prstGeom>
      </xdr:spPr>
    </xdr:pic>
    <xdr:clientData/>
  </xdr:twoCellAnchor>
  <xdr:twoCellAnchor>
    <xdr:from>
      <xdr:col>6</xdr:col>
      <xdr:colOff>1143000</xdr:colOff>
      <xdr:row>1</xdr:row>
      <xdr:rowOff>123825</xdr:rowOff>
    </xdr:from>
    <xdr:to>
      <xdr:col>7</xdr:col>
      <xdr:colOff>409575</xdr:colOff>
      <xdr:row>3</xdr:row>
      <xdr:rowOff>95250</xdr:rowOff>
    </xdr:to>
    <xdr:sp macro="" textlink="">
      <xdr:nvSpPr>
        <xdr:cNvPr id="13" name="Up Arrow 12">
          <a:hlinkClick xmlns:r="http://schemas.openxmlformats.org/officeDocument/2006/relationships" r:id="rId7" tooltip="Back to top"/>
          <a:extLst>
            <a:ext uri="{FF2B5EF4-FFF2-40B4-BE49-F238E27FC236}">
              <a16:creationId xmlns:a16="http://schemas.microsoft.com/office/drawing/2014/main" id="{00000000-0008-0000-1B00-00000D000000}"/>
            </a:ext>
          </a:extLst>
        </xdr:cNvPr>
        <xdr:cNvSpPr/>
      </xdr:nvSpPr>
      <xdr:spPr>
        <a:xfrm>
          <a:off x="8115300" y="42862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63</xdr:row>
      <xdr:rowOff>66671</xdr:rowOff>
    </xdr:from>
    <xdr:to>
      <xdr:col>8</xdr:col>
      <xdr:colOff>9000</xdr:colOff>
      <xdr:row>65</xdr:row>
      <xdr:rowOff>147916</xdr:rowOff>
    </xdr:to>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 b="43381"/>
        <a:stretch/>
      </xdr:blipFill>
      <xdr:spPr bwMode="auto">
        <a:xfrm>
          <a:off x="295275" y="12392021"/>
          <a:ext cx="5724000" cy="462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58</xdr:row>
      <xdr:rowOff>95250</xdr:rowOff>
    </xdr:from>
    <xdr:to>
      <xdr:col>8</xdr:col>
      <xdr:colOff>19050</xdr:colOff>
      <xdr:row>60</xdr:row>
      <xdr:rowOff>180975</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332" b="38961"/>
        <a:stretch/>
      </xdr:blipFill>
      <xdr:spPr bwMode="auto">
        <a:xfrm>
          <a:off x="352425" y="11839575"/>
          <a:ext cx="5743575" cy="4476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361948</xdr:colOff>
      <xdr:row>1</xdr:row>
      <xdr:rowOff>47622</xdr:rowOff>
    </xdr:from>
    <xdr:to>
      <xdr:col>13</xdr:col>
      <xdr:colOff>373198</xdr:colOff>
      <xdr:row>3</xdr:row>
      <xdr:rowOff>57297</xdr:rowOff>
    </xdr:to>
    <xdr:sp macro="" textlink="">
      <xdr:nvSpPr>
        <xdr:cNvPr id="10" name="Rectangle à coins arrondis 2">
          <a:hlinkClick xmlns:r="http://schemas.openxmlformats.org/officeDocument/2006/relationships" r:id="rId3" tooltip="Recommendations"/>
          <a:extLst>
            <a:ext uri="{FF2B5EF4-FFF2-40B4-BE49-F238E27FC236}">
              <a16:creationId xmlns:a16="http://schemas.microsoft.com/office/drawing/2014/main" id="{00000000-0008-0000-0200-00000A000000}"/>
            </a:ext>
          </a:extLst>
        </xdr:cNvPr>
        <xdr:cNvSpPr>
          <a:spLocks noChangeArrowheads="1"/>
        </xdr:cNvSpPr>
      </xdr:nvSpPr>
      <xdr:spPr bwMode="auto">
        <a:xfrm>
          <a:off x="8667748" y="409572"/>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76923C"/>
              </a:solidFill>
              <a:effectLst/>
              <a:latin typeface="Arial" panose="020B0604020202020204" pitchFamily="34" charset="0"/>
              <a:ea typeface="+mn-ea"/>
              <a:cs typeface="Arial" panose="020B0604020202020204" pitchFamily="34" charset="0"/>
            </a:rPr>
            <a:t>Recommendations</a:t>
          </a:r>
          <a:endParaRPr lang="fr-FR" sz="1200" b="0" i="0" u="none" strike="noStrike" baseline="0">
            <a:solidFill>
              <a:srgbClr val="76923C"/>
            </a:solidFill>
            <a:latin typeface="Arial" pitchFamily="34" charset="0"/>
            <a:cs typeface="Arial" pitchFamily="34" charset="0"/>
          </a:endParaRPr>
        </a:p>
      </xdr:txBody>
    </xdr:sp>
    <xdr:clientData/>
  </xdr:twoCellAnchor>
  <xdr:twoCellAnchor>
    <xdr:from>
      <xdr:col>13</xdr:col>
      <xdr:colOff>476625</xdr:colOff>
      <xdr:row>1</xdr:row>
      <xdr:rowOff>47624</xdr:rowOff>
    </xdr:from>
    <xdr:to>
      <xdr:col>15</xdr:col>
      <xdr:colOff>487875</xdr:colOff>
      <xdr:row>3</xdr:row>
      <xdr:rowOff>57299</xdr:rowOff>
    </xdr:to>
    <xdr:sp macro="" textlink="">
      <xdr:nvSpPr>
        <xdr:cNvPr id="13" name="Rectangle à coins arrondis 2">
          <a:hlinkClick xmlns:r="http://schemas.openxmlformats.org/officeDocument/2006/relationships" r:id="rId4" tooltip="Scorecard"/>
          <a:extLst>
            <a:ext uri="{FF2B5EF4-FFF2-40B4-BE49-F238E27FC236}">
              <a16:creationId xmlns:a16="http://schemas.microsoft.com/office/drawing/2014/main" id="{00000000-0008-0000-0200-00000D000000}"/>
            </a:ext>
          </a:extLst>
        </xdr:cNvPr>
        <xdr:cNvSpPr>
          <a:spLocks noChangeArrowheads="1"/>
        </xdr:cNvSpPr>
      </xdr:nvSpPr>
      <xdr:spPr bwMode="auto">
        <a:xfrm>
          <a:off x="10211175" y="409574"/>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Scorecard</a:t>
          </a:r>
        </a:p>
      </xdr:txBody>
    </xdr:sp>
    <xdr:clientData/>
  </xdr:twoCellAnchor>
  <xdr:twoCellAnchor>
    <xdr:from>
      <xdr:col>9</xdr:col>
      <xdr:colOff>247650</xdr:colOff>
      <xdr:row>1</xdr:row>
      <xdr:rowOff>47622</xdr:rowOff>
    </xdr:from>
    <xdr:to>
      <xdr:col>11</xdr:col>
      <xdr:colOff>258900</xdr:colOff>
      <xdr:row>3</xdr:row>
      <xdr:rowOff>57297</xdr:rowOff>
    </xdr:to>
    <xdr:sp macro="" textlink="">
      <xdr:nvSpPr>
        <xdr:cNvPr id="14" name="Rectangle à coins arrondis 2">
          <a:hlinkClick xmlns:r="http://schemas.openxmlformats.org/officeDocument/2006/relationships" r:id="rId5" tooltip="Instructions"/>
          <a:extLst>
            <a:ext uri="{FF2B5EF4-FFF2-40B4-BE49-F238E27FC236}">
              <a16:creationId xmlns:a16="http://schemas.microsoft.com/office/drawing/2014/main" id="{00000000-0008-0000-0200-00000E000000}"/>
            </a:ext>
          </a:extLst>
        </xdr:cNvPr>
        <xdr:cNvSpPr>
          <a:spLocks noChangeArrowheads="1"/>
        </xdr:cNvSpPr>
      </xdr:nvSpPr>
      <xdr:spPr bwMode="auto">
        <a:xfrm>
          <a:off x="7124700" y="409572"/>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76923C"/>
              </a:solidFill>
              <a:effectLst/>
              <a:latin typeface="Arial" panose="020B0604020202020204" pitchFamily="34" charset="0"/>
              <a:ea typeface="+mn-ea"/>
              <a:cs typeface="Arial" panose="020B0604020202020204" pitchFamily="34" charset="0"/>
            </a:rPr>
            <a:t>Instructions</a:t>
          </a:r>
          <a:endParaRPr lang="fr-FR" sz="1200" b="0" i="0" u="none" strike="noStrike" baseline="0">
            <a:solidFill>
              <a:srgbClr val="76923C"/>
            </a:solidFill>
            <a:latin typeface="Arial" panose="020B0604020202020204" pitchFamily="34" charset="0"/>
            <a:cs typeface="Arial" panose="020B0604020202020204" pitchFamily="34" charset="0"/>
          </a:endParaRPr>
        </a:p>
      </xdr:txBody>
    </xdr:sp>
    <xdr:clientData/>
  </xdr:twoCellAnchor>
  <xdr:twoCellAnchor>
    <xdr:from>
      <xdr:col>9</xdr:col>
      <xdr:colOff>247650</xdr:colOff>
      <xdr:row>3</xdr:row>
      <xdr:rowOff>133350</xdr:rowOff>
    </xdr:from>
    <xdr:to>
      <xdr:col>11</xdr:col>
      <xdr:colOff>258900</xdr:colOff>
      <xdr:row>4</xdr:row>
      <xdr:rowOff>219225</xdr:rowOff>
    </xdr:to>
    <xdr:sp macro="" textlink="">
      <xdr:nvSpPr>
        <xdr:cNvPr id="16" name="Rectangle à coins arrondis 2">
          <a:hlinkClick xmlns:r="http://schemas.openxmlformats.org/officeDocument/2006/relationships" r:id="rId6" tooltip="Project Information"/>
          <a:extLst>
            <a:ext uri="{FF2B5EF4-FFF2-40B4-BE49-F238E27FC236}">
              <a16:creationId xmlns:a16="http://schemas.microsoft.com/office/drawing/2014/main" id="{00000000-0008-0000-0200-000010000000}"/>
            </a:ext>
          </a:extLst>
        </xdr:cNvPr>
        <xdr:cNvSpPr>
          <a:spLocks noChangeArrowheads="1"/>
        </xdr:cNvSpPr>
      </xdr:nvSpPr>
      <xdr:spPr bwMode="auto">
        <a:xfrm>
          <a:off x="7124700" y="809625"/>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Project Information</a:t>
          </a:r>
        </a:p>
      </xdr:txBody>
    </xdr:sp>
    <xdr:clientData/>
  </xdr:twoCellAnchor>
  <xdr:twoCellAnchor>
    <xdr:from>
      <xdr:col>11</xdr:col>
      <xdr:colOff>362324</xdr:colOff>
      <xdr:row>3</xdr:row>
      <xdr:rowOff>133350</xdr:rowOff>
    </xdr:from>
    <xdr:to>
      <xdr:col>13</xdr:col>
      <xdr:colOff>373574</xdr:colOff>
      <xdr:row>4</xdr:row>
      <xdr:rowOff>219225</xdr:rowOff>
    </xdr:to>
    <xdr:sp macro="" textlink="">
      <xdr:nvSpPr>
        <xdr:cNvPr id="17" name="Rectangle à coins arrondis 2">
          <a:hlinkClick xmlns:r="http://schemas.openxmlformats.org/officeDocument/2006/relationships" r:id="rId7" tooltip="Graphical Results"/>
          <a:extLst>
            <a:ext uri="{FF2B5EF4-FFF2-40B4-BE49-F238E27FC236}">
              <a16:creationId xmlns:a16="http://schemas.microsoft.com/office/drawing/2014/main" id="{00000000-0008-0000-0200-000011000000}"/>
            </a:ext>
          </a:extLst>
        </xdr:cNvPr>
        <xdr:cNvSpPr>
          <a:spLocks noChangeArrowheads="1"/>
        </xdr:cNvSpPr>
      </xdr:nvSpPr>
      <xdr:spPr bwMode="auto">
        <a:xfrm>
          <a:off x="8668124" y="885825"/>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Graphical Results </a:t>
          </a:r>
        </a:p>
      </xdr:txBody>
    </xdr:sp>
    <xdr:clientData/>
  </xdr:twoCellAnchor>
  <xdr:twoCellAnchor>
    <xdr:from>
      <xdr:col>13</xdr:col>
      <xdr:colOff>476250</xdr:colOff>
      <xdr:row>3</xdr:row>
      <xdr:rowOff>133350</xdr:rowOff>
    </xdr:from>
    <xdr:to>
      <xdr:col>15</xdr:col>
      <xdr:colOff>487500</xdr:colOff>
      <xdr:row>4</xdr:row>
      <xdr:rowOff>219225</xdr:rowOff>
    </xdr:to>
    <xdr:sp macro="" textlink="">
      <xdr:nvSpPr>
        <xdr:cNvPr id="12" name="Rectangle à coins arrondis 2">
          <a:hlinkClick xmlns:r="http://schemas.openxmlformats.org/officeDocument/2006/relationships" r:id="rId8" tooltip="Glossary"/>
          <a:extLst>
            <a:ext uri="{FF2B5EF4-FFF2-40B4-BE49-F238E27FC236}">
              <a16:creationId xmlns:a16="http://schemas.microsoft.com/office/drawing/2014/main" id="{00000000-0008-0000-0200-00000C000000}"/>
            </a:ext>
          </a:extLst>
        </xdr:cNvPr>
        <xdr:cNvSpPr>
          <a:spLocks noChangeArrowheads="1"/>
        </xdr:cNvSpPr>
      </xdr:nvSpPr>
      <xdr:spPr bwMode="auto">
        <a:xfrm>
          <a:off x="10210800" y="885825"/>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Glossary</a:t>
          </a:r>
        </a:p>
      </xdr:txBody>
    </xdr:sp>
    <xdr:clientData/>
  </xdr:twoCellAnchor>
  <xdr:twoCellAnchor editAs="oneCell">
    <xdr:from>
      <xdr:col>2</xdr:col>
      <xdr:colOff>542925</xdr:colOff>
      <xdr:row>65</xdr:row>
      <xdr:rowOff>133351</xdr:rowOff>
    </xdr:from>
    <xdr:to>
      <xdr:col>8</xdr:col>
      <xdr:colOff>30675</xdr:colOff>
      <xdr:row>71</xdr:row>
      <xdr:rowOff>128336</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04950" y="12782551"/>
          <a:ext cx="4536000" cy="1137985"/>
        </a:xfrm>
        <a:prstGeom prst="rect">
          <a:avLst/>
        </a:prstGeom>
      </xdr:spPr>
    </xdr:pic>
    <xdr:clientData/>
  </xdr:twoCellAnchor>
  <xdr:twoCellAnchor editAs="oneCell">
    <xdr:from>
      <xdr:col>1</xdr:col>
      <xdr:colOff>47626</xdr:colOff>
      <xdr:row>76</xdr:row>
      <xdr:rowOff>85725</xdr:rowOff>
    </xdr:from>
    <xdr:to>
      <xdr:col>8</xdr:col>
      <xdr:colOff>61970</xdr:colOff>
      <xdr:row>91</xdr:row>
      <xdr:rowOff>103725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6" y="18640425"/>
          <a:ext cx="5776969" cy="2304000"/>
        </a:xfrm>
        <a:prstGeom prst="rect">
          <a:avLst/>
        </a:prstGeom>
        <a:ln>
          <a:solidFill>
            <a:schemeClr val="tx1">
              <a:lumMod val="50000"/>
              <a:lumOff val="50000"/>
            </a:schemeClr>
          </a:solidFill>
        </a:ln>
      </xdr:spPr>
    </xdr:pic>
    <xdr:clientData/>
  </xdr:twoCellAnchor>
  <xdr:twoCellAnchor>
    <xdr:from>
      <xdr:col>8</xdr:col>
      <xdr:colOff>495300</xdr:colOff>
      <xdr:row>2</xdr:row>
      <xdr:rowOff>161925</xdr:rowOff>
    </xdr:from>
    <xdr:to>
      <xdr:col>9</xdr:col>
      <xdr:colOff>76200</xdr:colOff>
      <xdr:row>4</xdr:row>
      <xdr:rowOff>47625</xdr:rowOff>
    </xdr:to>
    <xdr:sp macro="" textlink="">
      <xdr:nvSpPr>
        <xdr:cNvPr id="15" name="Up Arrow 14">
          <a:hlinkClick xmlns:r="http://schemas.openxmlformats.org/officeDocument/2006/relationships" r:id="rId11" tooltip="Back to top"/>
          <a:extLst>
            <a:ext uri="{FF2B5EF4-FFF2-40B4-BE49-F238E27FC236}">
              <a16:creationId xmlns:a16="http://schemas.microsoft.com/office/drawing/2014/main" id="{00000000-0008-0000-0200-00000F000000}"/>
            </a:ext>
          </a:extLst>
        </xdr:cNvPr>
        <xdr:cNvSpPr/>
      </xdr:nvSpPr>
      <xdr:spPr>
        <a:xfrm>
          <a:off x="6505575" y="600075"/>
          <a:ext cx="447675" cy="361950"/>
        </a:xfrm>
        <a:prstGeom prst="upArrow">
          <a:avLst/>
        </a:prstGeom>
        <a:solidFill>
          <a:schemeClr val="bg1">
            <a:lumMod val="9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1190625</xdr:colOff>
      <xdr:row>1</xdr:row>
      <xdr:rowOff>123825</xdr:rowOff>
    </xdr:from>
    <xdr:to>
      <xdr:col>4</xdr:col>
      <xdr:colOff>559800</xdr:colOff>
      <xdr:row>3</xdr:row>
      <xdr:rowOff>66825</xdr:rowOff>
    </xdr:to>
    <xdr:sp macro="" textlink="">
      <xdr:nvSpPr>
        <xdr:cNvPr id="2" name="Rectangle à coins arrondis 2">
          <a:hlinkClick xmlns:r="http://schemas.openxmlformats.org/officeDocument/2006/relationships" r:id="rId1" tooltip="Scorecard"/>
          <a:extLst>
            <a:ext uri="{FF2B5EF4-FFF2-40B4-BE49-F238E27FC236}">
              <a16:creationId xmlns:a16="http://schemas.microsoft.com/office/drawing/2014/main" id="{00000000-0008-0000-1C00-000002000000}"/>
            </a:ext>
          </a:extLst>
        </xdr:cNvPr>
        <xdr:cNvSpPr>
          <a:spLocks noChangeArrowheads="1"/>
        </xdr:cNvSpPr>
      </xdr:nvSpPr>
      <xdr:spPr bwMode="auto">
        <a:xfrm>
          <a:off x="2981325" y="42862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114300</xdr:colOff>
      <xdr:row>1</xdr:row>
      <xdr:rowOff>123825</xdr:rowOff>
    </xdr:from>
    <xdr:to>
      <xdr:col>2</xdr:col>
      <xdr:colOff>759825</xdr:colOff>
      <xdr:row>3</xdr:row>
      <xdr:rowOff>66825</xdr:rowOff>
    </xdr:to>
    <xdr:sp macro="" textlink="">
      <xdr:nvSpPr>
        <xdr:cNvPr id="3" name="Rectangle à coins arrondis 3">
          <a:hlinkClick xmlns:r="http://schemas.openxmlformats.org/officeDocument/2006/relationships" r:id="rId2" tooltip="Back to Materials"/>
          <a:extLst>
            <a:ext uri="{FF2B5EF4-FFF2-40B4-BE49-F238E27FC236}">
              <a16:creationId xmlns:a16="http://schemas.microsoft.com/office/drawing/2014/main" id="{00000000-0008-0000-1C00-000003000000}"/>
            </a:ext>
          </a:extLst>
        </xdr:cNvPr>
        <xdr:cNvSpPr>
          <a:spLocks noChangeArrowheads="1"/>
        </xdr:cNvSpPr>
      </xdr:nvSpPr>
      <xdr:spPr bwMode="auto">
        <a:xfrm>
          <a:off x="361950" y="428625"/>
          <a:ext cx="2188575"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19050</xdr:colOff>
      <xdr:row>17</xdr:row>
      <xdr:rowOff>66675</xdr:rowOff>
    </xdr:from>
    <xdr:to>
      <xdr:col>1</xdr:col>
      <xdr:colOff>415050</xdr:colOff>
      <xdr:row>19</xdr:row>
      <xdr:rowOff>100725</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700" y="3867150"/>
          <a:ext cx="396000" cy="396000"/>
        </a:xfrm>
        <a:prstGeom prst="rect">
          <a:avLst/>
        </a:prstGeom>
      </xdr:spPr>
    </xdr:pic>
    <xdr:clientData/>
  </xdr:twoCellAnchor>
  <xdr:twoCellAnchor editAs="oneCell">
    <xdr:from>
      <xdr:col>0</xdr:col>
      <xdr:colOff>352425</xdr:colOff>
      <xdr:row>14</xdr:row>
      <xdr:rowOff>76200</xdr:rowOff>
    </xdr:from>
    <xdr:to>
      <xdr:col>1</xdr:col>
      <xdr:colOff>432000</xdr:colOff>
      <xdr:row>16</xdr:row>
      <xdr:rowOff>127200</xdr:rowOff>
    </xdr:to>
    <xdr:pic>
      <xdr:nvPicPr>
        <xdr:cNvPr id="5" name="Picture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3409950"/>
          <a:ext cx="432000" cy="432000"/>
        </a:xfrm>
        <a:prstGeom prst="rect">
          <a:avLst/>
        </a:prstGeom>
      </xdr:spPr>
    </xdr:pic>
    <xdr:clientData/>
  </xdr:twoCellAnchor>
  <xdr:twoCellAnchor editAs="oneCell">
    <xdr:from>
      <xdr:col>1</xdr:col>
      <xdr:colOff>38100</xdr:colOff>
      <xdr:row>21</xdr:row>
      <xdr:rowOff>76200</xdr:rowOff>
    </xdr:from>
    <xdr:to>
      <xdr:col>1</xdr:col>
      <xdr:colOff>658818</xdr:colOff>
      <xdr:row>24</xdr:row>
      <xdr:rowOff>116700</xdr:rowOff>
    </xdr:to>
    <xdr:pic>
      <xdr:nvPicPr>
        <xdr:cNvPr id="6" name="Picture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5750" y="4533900"/>
          <a:ext cx="620718" cy="612000"/>
        </a:xfrm>
        <a:prstGeom prst="rect">
          <a:avLst/>
        </a:prstGeom>
      </xdr:spPr>
    </xdr:pic>
    <xdr:clientData/>
  </xdr:twoCellAnchor>
  <xdr:twoCellAnchor editAs="oneCell">
    <xdr:from>
      <xdr:col>1</xdr:col>
      <xdr:colOff>19050</xdr:colOff>
      <xdr:row>26</xdr:row>
      <xdr:rowOff>76200</xdr:rowOff>
    </xdr:from>
    <xdr:to>
      <xdr:col>1</xdr:col>
      <xdr:colOff>415050</xdr:colOff>
      <xdr:row>28</xdr:row>
      <xdr:rowOff>91200</xdr:rowOff>
    </xdr:to>
    <xdr:pic>
      <xdr:nvPicPr>
        <xdr:cNvPr id="7" name="Picture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6700" y="5486400"/>
          <a:ext cx="396000" cy="396000"/>
        </a:xfrm>
        <a:prstGeom prst="rect">
          <a:avLst/>
        </a:prstGeom>
      </xdr:spPr>
    </xdr:pic>
    <xdr:clientData/>
  </xdr:twoCellAnchor>
  <xdr:twoCellAnchor editAs="oneCell">
    <xdr:from>
      <xdr:col>1</xdr:col>
      <xdr:colOff>28575</xdr:colOff>
      <xdr:row>34</xdr:row>
      <xdr:rowOff>95250</xdr:rowOff>
    </xdr:from>
    <xdr:to>
      <xdr:col>1</xdr:col>
      <xdr:colOff>424575</xdr:colOff>
      <xdr:row>36</xdr:row>
      <xdr:rowOff>110250</xdr:rowOff>
    </xdr:to>
    <xdr:pic>
      <xdr:nvPicPr>
        <xdr:cNvPr id="8" name="Picture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5" y="7067550"/>
          <a:ext cx="396000" cy="396000"/>
        </a:xfrm>
        <a:prstGeom prst="rect">
          <a:avLst/>
        </a:prstGeom>
      </xdr:spPr>
    </xdr:pic>
    <xdr:clientData/>
  </xdr:twoCellAnchor>
  <xdr:twoCellAnchor editAs="oneCell">
    <xdr:from>
      <xdr:col>1</xdr:col>
      <xdr:colOff>9525</xdr:colOff>
      <xdr:row>32</xdr:row>
      <xdr:rowOff>0</xdr:rowOff>
    </xdr:from>
    <xdr:to>
      <xdr:col>1</xdr:col>
      <xdr:colOff>405525</xdr:colOff>
      <xdr:row>34</xdr:row>
      <xdr:rowOff>15000</xdr:rowOff>
    </xdr:to>
    <xdr:pic>
      <xdr:nvPicPr>
        <xdr:cNvPr id="9" name="Picture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7175" y="6591300"/>
          <a:ext cx="396000" cy="396000"/>
        </a:xfrm>
        <a:prstGeom prst="rect">
          <a:avLst/>
        </a:prstGeom>
      </xdr:spPr>
    </xdr:pic>
    <xdr:clientData/>
  </xdr:twoCellAnchor>
  <xdr:twoCellAnchor>
    <xdr:from>
      <xdr:col>6</xdr:col>
      <xdr:colOff>1143000</xdr:colOff>
      <xdr:row>1</xdr:row>
      <xdr:rowOff>104775</xdr:rowOff>
    </xdr:from>
    <xdr:to>
      <xdr:col>7</xdr:col>
      <xdr:colOff>409575</xdr:colOff>
      <xdr:row>3</xdr:row>
      <xdr:rowOff>76200</xdr:rowOff>
    </xdr:to>
    <xdr:sp macro="" textlink="">
      <xdr:nvSpPr>
        <xdr:cNvPr id="10" name="Up Arrow 9">
          <a:hlinkClick xmlns:r="http://schemas.openxmlformats.org/officeDocument/2006/relationships" r:id="rId7" tooltip="Back to top"/>
          <a:extLst>
            <a:ext uri="{FF2B5EF4-FFF2-40B4-BE49-F238E27FC236}">
              <a16:creationId xmlns:a16="http://schemas.microsoft.com/office/drawing/2014/main" id="{00000000-0008-0000-1C00-00000A000000}"/>
            </a:ext>
          </a:extLst>
        </xdr:cNvPr>
        <xdr:cNvSpPr/>
      </xdr:nvSpPr>
      <xdr:spPr>
        <a:xfrm>
          <a:off x="8524875" y="40957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1190625</xdr:colOff>
      <xdr:row>1</xdr:row>
      <xdr:rowOff>133350</xdr:rowOff>
    </xdr:from>
    <xdr:to>
      <xdr:col>4</xdr:col>
      <xdr:colOff>759825</xdr:colOff>
      <xdr:row>3</xdr:row>
      <xdr:rowOff>76350</xdr:rowOff>
    </xdr:to>
    <xdr:sp macro="" textlink="">
      <xdr:nvSpPr>
        <xdr:cNvPr id="2" name="Rectangle à coins arrondis 2">
          <a:hlinkClick xmlns:r="http://schemas.openxmlformats.org/officeDocument/2006/relationships" r:id="rId1" tooltip="Scorecard"/>
          <a:extLst>
            <a:ext uri="{FF2B5EF4-FFF2-40B4-BE49-F238E27FC236}">
              <a16:creationId xmlns:a16="http://schemas.microsoft.com/office/drawing/2014/main" id="{00000000-0008-0000-1D00-000002000000}"/>
            </a:ext>
          </a:extLst>
        </xdr:cNvPr>
        <xdr:cNvSpPr>
          <a:spLocks noChangeArrowheads="1"/>
        </xdr:cNvSpPr>
      </xdr:nvSpPr>
      <xdr:spPr bwMode="auto">
        <a:xfrm>
          <a:off x="2981325" y="4381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114300</xdr:colOff>
      <xdr:row>1</xdr:row>
      <xdr:rowOff>133350</xdr:rowOff>
    </xdr:from>
    <xdr:to>
      <xdr:col>2</xdr:col>
      <xdr:colOff>759825</xdr:colOff>
      <xdr:row>3</xdr:row>
      <xdr:rowOff>76350</xdr:rowOff>
    </xdr:to>
    <xdr:sp macro="" textlink="">
      <xdr:nvSpPr>
        <xdr:cNvPr id="3" name="Rectangle à coins arrondis 3">
          <a:hlinkClick xmlns:r="http://schemas.openxmlformats.org/officeDocument/2006/relationships" r:id="rId2" tooltip="Back to Materials"/>
          <a:extLst>
            <a:ext uri="{FF2B5EF4-FFF2-40B4-BE49-F238E27FC236}">
              <a16:creationId xmlns:a16="http://schemas.microsoft.com/office/drawing/2014/main" id="{00000000-0008-0000-1D00-000003000000}"/>
            </a:ext>
          </a:extLst>
        </xdr:cNvPr>
        <xdr:cNvSpPr>
          <a:spLocks noChangeArrowheads="1"/>
        </xdr:cNvSpPr>
      </xdr:nvSpPr>
      <xdr:spPr bwMode="auto">
        <a:xfrm>
          <a:off x="361950" y="438150"/>
          <a:ext cx="2188575"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38100</xdr:colOff>
      <xdr:row>24</xdr:row>
      <xdr:rowOff>180975</xdr:rowOff>
    </xdr:from>
    <xdr:to>
      <xdr:col>1</xdr:col>
      <xdr:colOff>658818</xdr:colOff>
      <xdr:row>28</xdr:row>
      <xdr:rowOff>30975</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0" y="5353050"/>
          <a:ext cx="620718" cy="612000"/>
        </a:xfrm>
        <a:prstGeom prst="rect">
          <a:avLst/>
        </a:prstGeom>
      </xdr:spPr>
    </xdr:pic>
    <xdr:clientData/>
  </xdr:twoCellAnchor>
  <xdr:twoCellAnchor editAs="oneCell">
    <xdr:from>
      <xdr:col>1</xdr:col>
      <xdr:colOff>9525</xdr:colOff>
      <xdr:row>14</xdr:row>
      <xdr:rowOff>95250</xdr:rowOff>
    </xdr:from>
    <xdr:to>
      <xdr:col>1</xdr:col>
      <xdr:colOff>405525</xdr:colOff>
      <xdr:row>16</xdr:row>
      <xdr:rowOff>110250</xdr:rowOff>
    </xdr:to>
    <xdr:pic>
      <xdr:nvPicPr>
        <xdr:cNvPr id="5" name="Picture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5" y="3362325"/>
          <a:ext cx="396000" cy="396000"/>
        </a:xfrm>
        <a:prstGeom prst="rect">
          <a:avLst/>
        </a:prstGeom>
      </xdr:spPr>
    </xdr:pic>
    <xdr:clientData/>
  </xdr:twoCellAnchor>
  <xdr:twoCellAnchor editAs="oneCell">
    <xdr:from>
      <xdr:col>1</xdr:col>
      <xdr:colOff>0</xdr:colOff>
      <xdr:row>32</xdr:row>
      <xdr:rowOff>95250</xdr:rowOff>
    </xdr:from>
    <xdr:to>
      <xdr:col>1</xdr:col>
      <xdr:colOff>396000</xdr:colOff>
      <xdr:row>34</xdr:row>
      <xdr:rowOff>110250</xdr:rowOff>
    </xdr:to>
    <xdr:pic>
      <xdr:nvPicPr>
        <xdr:cNvPr id="6" name="Picture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650" y="6886575"/>
          <a:ext cx="396000" cy="396000"/>
        </a:xfrm>
        <a:prstGeom prst="rect">
          <a:avLst/>
        </a:prstGeom>
      </xdr:spPr>
    </xdr:pic>
    <xdr:clientData/>
  </xdr:twoCellAnchor>
  <xdr:twoCellAnchor editAs="oneCell">
    <xdr:from>
      <xdr:col>1</xdr:col>
      <xdr:colOff>0</xdr:colOff>
      <xdr:row>16</xdr:row>
      <xdr:rowOff>209550</xdr:rowOff>
    </xdr:from>
    <xdr:to>
      <xdr:col>1</xdr:col>
      <xdr:colOff>396000</xdr:colOff>
      <xdr:row>18</xdr:row>
      <xdr:rowOff>186450</xdr:rowOff>
    </xdr:to>
    <xdr:pic>
      <xdr:nvPicPr>
        <xdr:cNvPr id="7" name="Picture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650" y="3857625"/>
          <a:ext cx="396000" cy="396000"/>
        </a:xfrm>
        <a:prstGeom prst="rect">
          <a:avLst/>
        </a:prstGeom>
      </xdr:spPr>
    </xdr:pic>
    <xdr:clientData/>
  </xdr:twoCellAnchor>
  <xdr:twoCellAnchor editAs="oneCell">
    <xdr:from>
      <xdr:col>1</xdr:col>
      <xdr:colOff>0</xdr:colOff>
      <xdr:row>35</xdr:row>
      <xdr:rowOff>57150</xdr:rowOff>
    </xdr:from>
    <xdr:to>
      <xdr:col>1</xdr:col>
      <xdr:colOff>438153</xdr:colOff>
      <xdr:row>37</xdr:row>
      <xdr:rowOff>108150</xdr:rowOff>
    </xdr:to>
    <xdr:pic>
      <xdr:nvPicPr>
        <xdr:cNvPr id="8" name="Picture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7650" y="7400925"/>
          <a:ext cx="438153" cy="432000"/>
        </a:xfrm>
        <a:prstGeom prst="rect">
          <a:avLst/>
        </a:prstGeom>
      </xdr:spPr>
    </xdr:pic>
    <xdr:clientData/>
  </xdr:twoCellAnchor>
  <xdr:twoCellAnchor editAs="oneCell">
    <xdr:from>
      <xdr:col>1</xdr:col>
      <xdr:colOff>38100</xdr:colOff>
      <xdr:row>38</xdr:row>
      <xdr:rowOff>85725</xdr:rowOff>
    </xdr:from>
    <xdr:to>
      <xdr:col>1</xdr:col>
      <xdr:colOff>434100</xdr:colOff>
      <xdr:row>40</xdr:row>
      <xdr:rowOff>100725</xdr:rowOff>
    </xdr:to>
    <xdr:pic>
      <xdr:nvPicPr>
        <xdr:cNvPr id="9" name="Picture 8">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8001000"/>
          <a:ext cx="396000" cy="396000"/>
        </a:xfrm>
        <a:prstGeom prst="rect">
          <a:avLst/>
        </a:prstGeom>
      </xdr:spPr>
    </xdr:pic>
    <xdr:clientData/>
  </xdr:twoCellAnchor>
  <xdr:twoCellAnchor>
    <xdr:from>
      <xdr:col>6</xdr:col>
      <xdr:colOff>1143000</xdr:colOff>
      <xdr:row>1</xdr:row>
      <xdr:rowOff>104775</xdr:rowOff>
    </xdr:from>
    <xdr:to>
      <xdr:col>7</xdr:col>
      <xdr:colOff>409575</xdr:colOff>
      <xdr:row>3</xdr:row>
      <xdr:rowOff>76200</xdr:rowOff>
    </xdr:to>
    <xdr:sp macro="" textlink="">
      <xdr:nvSpPr>
        <xdr:cNvPr id="10" name="Up Arrow 9">
          <a:hlinkClick xmlns:r="http://schemas.openxmlformats.org/officeDocument/2006/relationships" r:id="rId7" tooltip="Back to top"/>
          <a:extLst>
            <a:ext uri="{FF2B5EF4-FFF2-40B4-BE49-F238E27FC236}">
              <a16:creationId xmlns:a16="http://schemas.microsoft.com/office/drawing/2014/main" id="{00000000-0008-0000-1D00-00000A000000}"/>
            </a:ext>
          </a:extLst>
        </xdr:cNvPr>
        <xdr:cNvSpPr/>
      </xdr:nvSpPr>
      <xdr:spPr>
        <a:xfrm>
          <a:off x="8524875" y="40957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1152525</xdr:colOff>
      <xdr:row>1</xdr:row>
      <xdr:rowOff>133350</xdr:rowOff>
    </xdr:from>
    <xdr:to>
      <xdr:col>4</xdr:col>
      <xdr:colOff>626475</xdr:colOff>
      <xdr:row>3</xdr:row>
      <xdr:rowOff>76350</xdr:rowOff>
    </xdr:to>
    <xdr:sp macro="" textlink="">
      <xdr:nvSpPr>
        <xdr:cNvPr id="2" name="Rectangle à coins arrondis 2">
          <a:hlinkClick xmlns:r="http://schemas.openxmlformats.org/officeDocument/2006/relationships" r:id="rId1" tooltip="Scorecard"/>
          <a:extLst>
            <a:ext uri="{FF2B5EF4-FFF2-40B4-BE49-F238E27FC236}">
              <a16:creationId xmlns:a16="http://schemas.microsoft.com/office/drawing/2014/main" id="{00000000-0008-0000-1E00-000002000000}"/>
            </a:ext>
          </a:extLst>
        </xdr:cNvPr>
        <xdr:cNvSpPr>
          <a:spLocks noChangeArrowheads="1"/>
        </xdr:cNvSpPr>
      </xdr:nvSpPr>
      <xdr:spPr bwMode="auto">
        <a:xfrm>
          <a:off x="2943225" y="4572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76200</xdr:colOff>
      <xdr:row>1</xdr:row>
      <xdr:rowOff>133350</xdr:rowOff>
    </xdr:from>
    <xdr:to>
      <xdr:col>2</xdr:col>
      <xdr:colOff>693150</xdr:colOff>
      <xdr:row>3</xdr:row>
      <xdr:rowOff>76350</xdr:rowOff>
    </xdr:to>
    <xdr:sp macro="" textlink="">
      <xdr:nvSpPr>
        <xdr:cNvPr id="3" name="Rectangle à coins arrondis 3">
          <a:hlinkClick xmlns:r="http://schemas.openxmlformats.org/officeDocument/2006/relationships" r:id="rId2" tooltip="Back to Materials"/>
          <a:extLst>
            <a:ext uri="{FF2B5EF4-FFF2-40B4-BE49-F238E27FC236}">
              <a16:creationId xmlns:a16="http://schemas.microsoft.com/office/drawing/2014/main" id="{00000000-0008-0000-1E00-000003000000}"/>
            </a:ext>
          </a:extLst>
        </xdr:cNvPr>
        <xdr:cNvSpPr>
          <a:spLocks noChangeArrowheads="1"/>
        </xdr:cNvSpPr>
      </xdr:nvSpPr>
      <xdr:spPr bwMode="auto">
        <a:xfrm>
          <a:off x="323850" y="457200"/>
          <a:ext cx="21600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19050</xdr:colOff>
      <xdr:row>14</xdr:row>
      <xdr:rowOff>85725</xdr:rowOff>
    </xdr:from>
    <xdr:to>
      <xdr:col>1</xdr:col>
      <xdr:colOff>415050</xdr:colOff>
      <xdr:row>16</xdr:row>
      <xdr:rowOff>100725</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700" y="3305175"/>
          <a:ext cx="396000" cy="396000"/>
        </a:xfrm>
        <a:prstGeom prst="rect">
          <a:avLst/>
        </a:prstGeom>
      </xdr:spPr>
    </xdr:pic>
    <xdr:clientData/>
  </xdr:twoCellAnchor>
  <xdr:twoCellAnchor editAs="oneCell">
    <xdr:from>
      <xdr:col>1</xdr:col>
      <xdr:colOff>38100</xdr:colOff>
      <xdr:row>34</xdr:row>
      <xdr:rowOff>133350</xdr:rowOff>
    </xdr:from>
    <xdr:to>
      <xdr:col>1</xdr:col>
      <xdr:colOff>434100</xdr:colOff>
      <xdr:row>36</xdr:row>
      <xdr:rowOff>110250</xdr:rowOff>
    </xdr:to>
    <xdr:pic>
      <xdr:nvPicPr>
        <xdr:cNvPr id="5" name="Picture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7324725"/>
          <a:ext cx="396000" cy="396000"/>
        </a:xfrm>
        <a:prstGeom prst="rect">
          <a:avLst/>
        </a:prstGeom>
      </xdr:spPr>
    </xdr:pic>
    <xdr:clientData/>
  </xdr:twoCellAnchor>
  <xdr:twoCellAnchor editAs="oneCell">
    <xdr:from>
      <xdr:col>1</xdr:col>
      <xdr:colOff>9525</xdr:colOff>
      <xdr:row>17</xdr:row>
      <xdr:rowOff>0</xdr:rowOff>
    </xdr:from>
    <xdr:to>
      <xdr:col>1</xdr:col>
      <xdr:colOff>405525</xdr:colOff>
      <xdr:row>19</xdr:row>
      <xdr:rowOff>15000</xdr:rowOff>
    </xdr:to>
    <xdr:pic>
      <xdr:nvPicPr>
        <xdr:cNvPr id="6" name="Picture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7175" y="3790950"/>
          <a:ext cx="396000" cy="396000"/>
        </a:xfrm>
        <a:prstGeom prst="rect">
          <a:avLst/>
        </a:prstGeom>
      </xdr:spPr>
    </xdr:pic>
    <xdr:clientData/>
  </xdr:twoCellAnchor>
  <xdr:twoCellAnchor editAs="oneCell">
    <xdr:from>
      <xdr:col>1</xdr:col>
      <xdr:colOff>38100</xdr:colOff>
      <xdr:row>21</xdr:row>
      <xdr:rowOff>85725</xdr:rowOff>
    </xdr:from>
    <xdr:to>
      <xdr:col>1</xdr:col>
      <xdr:colOff>658818</xdr:colOff>
      <xdr:row>24</xdr:row>
      <xdr:rowOff>126225</xdr:rowOff>
    </xdr:to>
    <xdr:pic>
      <xdr:nvPicPr>
        <xdr:cNvPr id="7" name="Picture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4610100"/>
          <a:ext cx="620718" cy="612000"/>
        </a:xfrm>
        <a:prstGeom prst="rect">
          <a:avLst/>
        </a:prstGeom>
      </xdr:spPr>
    </xdr:pic>
    <xdr:clientData/>
  </xdr:twoCellAnchor>
  <xdr:twoCellAnchor editAs="oneCell">
    <xdr:from>
      <xdr:col>1</xdr:col>
      <xdr:colOff>19050</xdr:colOff>
      <xdr:row>28</xdr:row>
      <xdr:rowOff>95250</xdr:rowOff>
    </xdr:from>
    <xdr:to>
      <xdr:col>1</xdr:col>
      <xdr:colOff>415050</xdr:colOff>
      <xdr:row>30</xdr:row>
      <xdr:rowOff>110250</xdr:rowOff>
    </xdr:to>
    <xdr:pic>
      <xdr:nvPicPr>
        <xdr:cNvPr id="8" name="Picture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6700" y="6048375"/>
          <a:ext cx="396000" cy="396000"/>
        </a:xfrm>
        <a:prstGeom prst="rect">
          <a:avLst/>
        </a:prstGeom>
      </xdr:spPr>
    </xdr:pic>
    <xdr:clientData/>
  </xdr:twoCellAnchor>
  <xdr:twoCellAnchor editAs="oneCell">
    <xdr:from>
      <xdr:col>1</xdr:col>
      <xdr:colOff>9528</xdr:colOff>
      <xdr:row>31</xdr:row>
      <xdr:rowOff>95250</xdr:rowOff>
    </xdr:from>
    <xdr:to>
      <xdr:col>1</xdr:col>
      <xdr:colOff>447681</xdr:colOff>
      <xdr:row>33</xdr:row>
      <xdr:rowOff>127200</xdr:rowOff>
    </xdr:to>
    <xdr:pic>
      <xdr:nvPicPr>
        <xdr:cNvPr id="9" name="Picture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7178" y="6657975"/>
          <a:ext cx="438153" cy="432000"/>
        </a:xfrm>
        <a:prstGeom prst="rect">
          <a:avLst/>
        </a:prstGeom>
      </xdr:spPr>
    </xdr:pic>
    <xdr:clientData/>
  </xdr:twoCellAnchor>
  <xdr:twoCellAnchor>
    <xdr:from>
      <xdr:col>6</xdr:col>
      <xdr:colOff>1143000</xdr:colOff>
      <xdr:row>1</xdr:row>
      <xdr:rowOff>104775</xdr:rowOff>
    </xdr:from>
    <xdr:to>
      <xdr:col>7</xdr:col>
      <xdr:colOff>409575</xdr:colOff>
      <xdr:row>3</xdr:row>
      <xdr:rowOff>76200</xdr:rowOff>
    </xdr:to>
    <xdr:sp macro="" textlink="">
      <xdr:nvSpPr>
        <xdr:cNvPr id="10" name="Up Arrow 9">
          <a:hlinkClick xmlns:r="http://schemas.openxmlformats.org/officeDocument/2006/relationships" r:id="rId7" tooltip="Back to top"/>
          <a:extLst>
            <a:ext uri="{FF2B5EF4-FFF2-40B4-BE49-F238E27FC236}">
              <a16:creationId xmlns:a16="http://schemas.microsoft.com/office/drawing/2014/main" id="{00000000-0008-0000-1E00-00000A000000}"/>
            </a:ext>
          </a:extLst>
        </xdr:cNvPr>
        <xdr:cNvSpPr/>
      </xdr:nvSpPr>
      <xdr:spPr>
        <a:xfrm>
          <a:off x="7886700" y="40957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1190625</xdr:colOff>
      <xdr:row>1</xdr:row>
      <xdr:rowOff>133350</xdr:rowOff>
    </xdr:from>
    <xdr:to>
      <xdr:col>4</xdr:col>
      <xdr:colOff>664575</xdr:colOff>
      <xdr:row>3</xdr:row>
      <xdr:rowOff>76350</xdr:rowOff>
    </xdr:to>
    <xdr:sp macro="" textlink="">
      <xdr:nvSpPr>
        <xdr:cNvPr id="2" name="Rectangle à coins arrondis 2">
          <a:hlinkClick xmlns:r="http://schemas.openxmlformats.org/officeDocument/2006/relationships" r:id="rId1" tooltip="Scorecard"/>
          <a:extLst>
            <a:ext uri="{FF2B5EF4-FFF2-40B4-BE49-F238E27FC236}">
              <a16:creationId xmlns:a16="http://schemas.microsoft.com/office/drawing/2014/main" id="{00000000-0008-0000-1F00-000002000000}"/>
            </a:ext>
          </a:extLst>
        </xdr:cNvPr>
        <xdr:cNvSpPr>
          <a:spLocks noChangeArrowheads="1"/>
        </xdr:cNvSpPr>
      </xdr:nvSpPr>
      <xdr:spPr bwMode="auto">
        <a:xfrm>
          <a:off x="2981325" y="4572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114300</xdr:colOff>
      <xdr:row>1</xdr:row>
      <xdr:rowOff>133350</xdr:rowOff>
    </xdr:from>
    <xdr:to>
      <xdr:col>2</xdr:col>
      <xdr:colOff>731250</xdr:colOff>
      <xdr:row>3</xdr:row>
      <xdr:rowOff>76350</xdr:rowOff>
    </xdr:to>
    <xdr:sp macro="" textlink="">
      <xdr:nvSpPr>
        <xdr:cNvPr id="3" name="Rectangle à coins arrondis 3">
          <a:hlinkClick xmlns:r="http://schemas.openxmlformats.org/officeDocument/2006/relationships" r:id="rId2" tooltip="Back to Materials"/>
          <a:extLst>
            <a:ext uri="{FF2B5EF4-FFF2-40B4-BE49-F238E27FC236}">
              <a16:creationId xmlns:a16="http://schemas.microsoft.com/office/drawing/2014/main" id="{00000000-0008-0000-1F00-000003000000}"/>
            </a:ext>
          </a:extLst>
        </xdr:cNvPr>
        <xdr:cNvSpPr>
          <a:spLocks noChangeArrowheads="1"/>
        </xdr:cNvSpPr>
      </xdr:nvSpPr>
      <xdr:spPr bwMode="auto">
        <a:xfrm>
          <a:off x="361950" y="457200"/>
          <a:ext cx="21600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9525</xdr:colOff>
      <xdr:row>14</xdr:row>
      <xdr:rowOff>85725</xdr:rowOff>
    </xdr:from>
    <xdr:to>
      <xdr:col>1</xdr:col>
      <xdr:colOff>405525</xdr:colOff>
      <xdr:row>16</xdr:row>
      <xdr:rowOff>100725</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7175" y="3248025"/>
          <a:ext cx="396000" cy="396000"/>
        </a:xfrm>
        <a:prstGeom prst="rect">
          <a:avLst/>
        </a:prstGeom>
      </xdr:spPr>
    </xdr:pic>
    <xdr:clientData/>
  </xdr:twoCellAnchor>
  <xdr:twoCellAnchor editAs="oneCell">
    <xdr:from>
      <xdr:col>1</xdr:col>
      <xdr:colOff>38100</xdr:colOff>
      <xdr:row>28</xdr:row>
      <xdr:rowOff>133350</xdr:rowOff>
    </xdr:from>
    <xdr:to>
      <xdr:col>1</xdr:col>
      <xdr:colOff>434100</xdr:colOff>
      <xdr:row>30</xdr:row>
      <xdr:rowOff>100725</xdr:rowOff>
    </xdr:to>
    <xdr:pic>
      <xdr:nvPicPr>
        <xdr:cNvPr id="6" name="Pictur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6162675"/>
          <a:ext cx="396000" cy="396000"/>
        </a:xfrm>
        <a:prstGeom prst="rect">
          <a:avLst/>
        </a:prstGeom>
      </xdr:spPr>
    </xdr:pic>
    <xdr:clientData/>
  </xdr:twoCellAnchor>
  <xdr:twoCellAnchor editAs="oneCell">
    <xdr:from>
      <xdr:col>1</xdr:col>
      <xdr:colOff>38100</xdr:colOff>
      <xdr:row>26</xdr:row>
      <xdr:rowOff>85725</xdr:rowOff>
    </xdr:from>
    <xdr:to>
      <xdr:col>1</xdr:col>
      <xdr:colOff>434100</xdr:colOff>
      <xdr:row>28</xdr:row>
      <xdr:rowOff>100725</xdr:rowOff>
    </xdr:to>
    <xdr:pic>
      <xdr:nvPicPr>
        <xdr:cNvPr id="7" name="Picture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5750" y="5734050"/>
          <a:ext cx="396000" cy="396000"/>
        </a:xfrm>
        <a:prstGeom prst="rect">
          <a:avLst/>
        </a:prstGeom>
      </xdr:spPr>
    </xdr:pic>
    <xdr:clientData/>
  </xdr:twoCellAnchor>
  <xdr:twoCellAnchor editAs="oneCell">
    <xdr:from>
      <xdr:col>1</xdr:col>
      <xdr:colOff>9525</xdr:colOff>
      <xdr:row>16</xdr:row>
      <xdr:rowOff>142875</xdr:rowOff>
    </xdr:from>
    <xdr:to>
      <xdr:col>1</xdr:col>
      <xdr:colOff>405525</xdr:colOff>
      <xdr:row>18</xdr:row>
      <xdr:rowOff>110250</xdr:rowOff>
    </xdr:to>
    <xdr:pic>
      <xdr:nvPicPr>
        <xdr:cNvPr id="8" name="Picture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7175" y="3686175"/>
          <a:ext cx="396000" cy="396000"/>
        </a:xfrm>
        <a:prstGeom prst="rect">
          <a:avLst/>
        </a:prstGeom>
      </xdr:spPr>
    </xdr:pic>
    <xdr:clientData/>
  </xdr:twoCellAnchor>
  <xdr:twoCellAnchor editAs="oneCell">
    <xdr:from>
      <xdr:col>1</xdr:col>
      <xdr:colOff>38101</xdr:colOff>
      <xdr:row>20</xdr:row>
      <xdr:rowOff>0</xdr:rowOff>
    </xdr:from>
    <xdr:to>
      <xdr:col>1</xdr:col>
      <xdr:colOff>622306</xdr:colOff>
      <xdr:row>23</xdr:row>
      <xdr:rowOff>4500</xdr:rowOff>
    </xdr:to>
    <xdr:pic>
      <xdr:nvPicPr>
        <xdr:cNvPr id="9" name="Picture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1" y="4410075"/>
          <a:ext cx="584205" cy="576000"/>
        </a:xfrm>
        <a:prstGeom prst="rect">
          <a:avLst/>
        </a:prstGeom>
      </xdr:spPr>
    </xdr:pic>
    <xdr:clientData/>
  </xdr:twoCellAnchor>
  <xdr:twoCellAnchor>
    <xdr:from>
      <xdr:col>6</xdr:col>
      <xdr:colOff>1209675</xdr:colOff>
      <xdr:row>1</xdr:row>
      <xdr:rowOff>104775</xdr:rowOff>
    </xdr:from>
    <xdr:to>
      <xdr:col>7</xdr:col>
      <xdr:colOff>390525</xdr:colOff>
      <xdr:row>3</xdr:row>
      <xdr:rowOff>76200</xdr:rowOff>
    </xdr:to>
    <xdr:sp macro="" textlink="">
      <xdr:nvSpPr>
        <xdr:cNvPr id="11" name="Up Arrow 10">
          <a:hlinkClick xmlns:r="http://schemas.openxmlformats.org/officeDocument/2006/relationships" r:id="rId7" tooltip="Back to top"/>
          <a:extLst>
            <a:ext uri="{FF2B5EF4-FFF2-40B4-BE49-F238E27FC236}">
              <a16:creationId xmlns:a16="http://schemas.microsoft.com/office/drawing/2014/main" id="{00000000-0008-0000-1F00-00000B000000}"/>
            </a:ext>
          </a:extLst>
        </xdr:cNvPr>
        <xdr:cNvSpPr/>
      </xdr:nvSpPr>
      <xdr:spPr>
        <a:xfrm>
          <a:off x="8115300" y="42862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127000</xdr:colOff>
      <xdr:row>0</xdr:row>
      <xdr:rowOff>31749</xdr:rowOff>
    </xdr:from>
    <xdr:to>
      <xdr:col>11</xdr:col>
      <xdr:colOff>158623</xdr:colOff>
      <xdr:row>2</xdr:row>
      <xdr:rowOff>168566</xdr:rowOff>
    </xdr:to>
    <xdr:pic>
      <xdr:nvPicPr>
        <xdr:cNvPr id="5" name="Image 2" descr="HC.png">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9683750" y="31749"/>
          <a:ext cx="888873" cy="898817"/>
        </a:xfrm>
        <a:prstGeom prst="rect">
          <a:avLst/>
        </a:prstGeom>
        <a:noFill/>
        <a:ln w="9525">
          <a:noFill/>
          <a:miter lim="800000"/>
          <a:headEnd/>
          <a:tailEnd/>
        </a:ln>
      </xdr:spPr>
    </xdr:pic>
    <xdr:clientData/>
  </xdr:twoCellAnchor>
  <xdr:twoCellAnchor>
    <xdr:from>
      <xdr:col>1</xdr:col>
      <xdr:colOff>0</xdr:colOff>
      <xdr:row>13</xdr:row>
      <xdr:rowOff>0</xdr:rowOff>
    </xdr:from>
    <xdr:to>
      <xdr:col>1</xdr:col>
      <xdr:colOff>1980000</xdr:colOff>
      <xdr:row>15</xdr:row>
      <xdr:rowOff>15000</xdr:rowOff>
    </xdr:to>
    <xdr:sp macro="" textlink="">
      <xdr:nvSpPr>
        <xdr:cNvPr id="4" name="Rectangle à coins arrondis 2">
          <a:hlinkClick xmlns:r="http://schemas.openxmlformats.org/officeDocument/2006/relationships" r:id="rId2" tooltip="Scorecard"/>
          <a:extLst>
            <a:ext uri="{FF2B5EF4-FFF2-40B4-BE49-F238E27FC236}">
              <a16:creationId xmlns:a16="http://schemas.microsoft.com/office/drawing/2014/main" id="{00000000-0008-0000-2000-000004000000}"/>
            </a:ext>
          </a:extLst>
        </xdr:cNvPr>
        <xdr:cNvSpPr>
          <a:spLocks noChangeArrowheads="1"/>
        </xdr:cNvSpPr>
      </xdr:nvSpPr>
      <xdr:spPr bwMode="auto">
        <a:xfrm>
          <a:off x="381000" y="3746500"/>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323850</xdr:colOff>
      <xdr:row>1</xdr:row>
      <xdr:rowOff>133351</xdr:rowOff>
    </xdr:from>
    <xdr:to>
      <xdr:col>2</xdr:col>
      <xdr:colOff>702675</xdr:colOff>
      <xdr:row>3</xdr:row>
      <xdr:rowOff>76351</xdr:rowOff>
    </xdr:to>
    <xdr:sp macro="" textlink="">
      <xdr:nvSpPr>
        <xdr:cNvPr id="2" name="Rectangle à coins arrondis 2">
          <a:hlinkClick xmlns:r="http://schemas.openxmlformats.org/officeDocument/2006/relationships" r:id="rId1" tooltip="Back to H&amp;C"/>
          <a:extLst>
            <a:ext uri="{FF2B5EF4-FFF2-40B4-BE49-F238E27FC236}">
              <a16:creationId xmlns:a16="http://schemas.microsoft.com/office/drawing/2014/main" id="{00000000-0008-0000-2100-000002000000}"/>
            </a:ext>
          </a:extLst>
        </xdr:cNvPr>
        <xdr:cNvSpPr>
          <a:spLocks noChangeArrowheads="1"/>
        </xdr:cNvSpPr>
      </xdr:nvSpPr>
      <xdr:spPr bwMode="auto">
        <a:xfrm>
          <a:off x="323850" y="428626"/>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1123949</xdr:colOff>
      <xdr:row>1</xdr:row>
      <xdr:rowOff>123825</xdr:rowOff>
    </xdr:from>
    <xdr:to>
      <xdr:col>4</xdr:col>
      <xdr:colOff>693149</xdr:colOff>
      <xdr:row>3</xdr:row>
      <xdr:rowOff>66825</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2100-000003000000}"/>
            </a:ext>
          </a:extLst>
        </xdr:cNvPr>
        <xdr:cNvSpPr>
          <a:spLocks noChangeArrowheads="1"/>
        </xdr:cNvSpPr>
      </xdr:nvSpPr>
      <xdr:spPr bwMode="auto">
        <a:xfrm>
          <a:off x="2905124" y="4191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28575</xdr:colOff>
      <xdr:row>32</xdr:row>
      <xdr:rowOff>76200</xdr:rowOff>
    </xdr:from>
    <xdr:to>
      <xdr:col>1</xdr:col>
      <xdr:colOff>388575</xdr:colOff>
      <xdr:row>34</xdr:row>
      <xdr:rowOff>93300</xdr:rowOff>
    </xdr:to>
    <xdr:pic>
      <xdr:nvPicPr>
        <xdr:cNvPr id="4" name="Picture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00" y="7391400"/>
          <a:ext cx="360000" cy="360000"/>
        </a:xfrm>
        <a:prstGeom prst="rect">
          <a:avLst/>
        </a:prstGeom>
      </xdr:spPr>
    </xdr:pic>
    <xdr:clientData/>
  </xdr:twoCellAnchor>
  <xdr:oneCellAnchor>
    <xdr:from>
      <xdr:col>1</xdr:col>
      <xdr:colOff>9525</xdr:colOff>
      <xdr:row>14</xdr:row>
      <xdr:rowOff>76200</xdr:rowOff>
    </xdr:from>
    <xdr:ext cx="396000" cy="396000"/>
    <xdr:pic>
      <xdr:nvPicPr>
        <xdr:cNvPr id="5" name="Picture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3850" y="17716500"/>
          <a:ext cx="396000" cy="396000"/>
        </a:xfrm>
        <a:prstGeom prst="rect">
          <a:avLst/>
        </a:prstGeom>
      </xdr:spPr>
    </xdr:pic>
    <xdr:clientData/>
  </xdr:oneCellAnchor>
  <xdr:twoCellAnchor>
    <xdr:from>
      <xdr:col>8</xdr:col>
      <xdr:colOff>800100</xdr:colOff>
      <xdr:row>1</xdr:row>
      <xdr:rowOff>104775</xdr:rowOff>
    </xdr:from>
    <xdr:to>
      <xdr:col>9</xdr:col>
      <xdr:colOff>28575</xdr:colOff>
      <xdr:row>3</xdr:row>
      <xdr:rowOff>76200</xdr:rowOff>
    </xdr:to>
    <xdr:sp macro="" textlink="">
      <xdr:nvSpPr>
        <xdr:cNvPr id="9" name="Up Arrow 8">
          <a:hlinkClick xmlns:r="http://schemas.openxmlformats.org/officeDocument/2006/relationships" r:id="rId5" tooltip="Back to top"/>
          <a:extLst>
            <a:ext uri="{FF2B5EF4-FFF2-40B4-BE49-F238E27FC236}">
              <a16:creationId xmlns:a16="http://schemas.microsoft.com/office/drawing/2014/main" id="{00000000-0008-0000-2100-000009000000}"/>
            </a:ext>
          </a:extLst>
        </xdr:cNvPr>
        <xdr:cNvSpPr/>
      </xdr:nvSpPr>
      <xdr:spPr>
        <a:xfrm>
          <a:off x="10010775"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38100</xdr:colOff>
      <xdr:row>34</xdr:row>
      <xdr:rowOff>142875</xdr:rowOff>
    </xdr:from>
    <xdr:ext cx="360000" cy="360000"/>
    <xdr:pic>
      <xdr:nvPicPr>
        <xdr:cNvPr id="10" name="Picture 9">
          <a:extLst>
            <a:ext uri="{FF2B5EF4-FFF2-40B4-BE49-F238E27FC236}">
              <a16:creationId xmlns:a16="http://schemas.microsoft.com/office/drawing/2014/main" id="{00000000-0008-0000-21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8625" y="7981950"/>
          <a:ext cx="360000" cy="360000"/>
        </a:xfrm>
        <a:prstGeom prst="rect">
          <a:avLst/>
        </a:prstGeom>
      </xdr:spPr>
    </xdr:pic>
    <xdr:clientData/>
  </xdr:oneCellAnchor>
  <xdr:twoCellAnchor editAs="oneCell">
    <xdr:from>
      <xdr:col>1</xdr:col>
      <xdr:colOff>38100</xdr:colOff>
      <xdr:row>65</xdr:row>
      <xdr:rowOff>57150</xdr:rowOff>
    </xdr:from>
    <xdr:to>
      <xdr:col>1</xdr:col>
      <xdr:colOff>470100</xdr:colOff>
      <xdr:row>66</xdr:row>
      <xdr:rowOff>298650</xdr:rowOff>
    </xdr:to>
    <xdr:pic>
      <xdr:nvPicPr>
        <xdr:cNvPr id="11" name="Picture 10">
          <a:extLst>
            <a:ext uri="{FF2B5EF4-FFF2-40B4-BE49-F238E27FC236}">
              <a16:creationId xmlns:a16="http://schemas.microsoft.com/office/drawing/2014/main" id="{00000000-0008-0000-21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 y="13916025"/>
          <a:ext cx="432000" cy="432000"/>
        </a:xfrm>
        <a:prstGeom prst="rect">
          <a:avLst/>
        </a:prstGeom>
      </xdr:spPr>
    </xdr:pic>
    <xdr:clientData/>
  </xdr:twoCellAnchor>
  <xdr:oneCellAnchor>
    <xdr:from>
      <xdr:col>1</xdr:col>
      <xdr:colOff>38100</xdr:colOff>
      <xdr:row>43</xdr:row>
      <xdr:rowOff>19050</xdr:rowOff>
    </xdr:from>
    <xdr:ext cx="360000" cy="360000"/>
    <xdr:pic>
      <xdr:nvPicPr>
        <xdr:cNvPr id="13" name="Picture 12">
          <a:extLst>
            <a:ext uri="{FF2B5EF4-FFF2-40B4-BE49-F238E27FC236}">
              <a16:creationId xmlns:a16="http://schemas.microsoft.com/office/drawing/2014/main" id="{00000000-0008-0000-21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8625" y="9067800"/>
          <a:ext cx="360000" cy="360000"/>
        </a:xfrm>
        <a:prstGeom prst="rect">
          <a:avLst/>
        </a:prstGeom>
      </xdr:spPr>
    </xdr:pic>
    <xdr:clientData/>
  </xdr:oneCellAnchor>
  <xdr:oneCellAnchor>
    <xdr:from>
      <xdr:col>1</xdr:col>
      <xdr:colOff>47625</xdr:colOff>
      <xdr:row>63</xdr:row>
      <xdr:rowOff>95250</xdr:rowOff>
    </xdr:from>
    <xdr:ext cx="360000" cy="360000"/>
    <xdr:pic>
      <xdr:nvPicPr>
        <xdr:cNvPr id="15" name="Picture 14">
          <a:extLst>
            <a:ext uri="{FF2B5EF4-FFF2-40B4-BE49-F238E27FC236}">
              <a16:creationId xmlns:a16="http://schemas.microsoft.com/office/drawing/2014/main" id="{00000000-0008-0000-21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150" y="13430250"/>
          <a:ext cx="360000" cy="360000"/>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0</xdr:col>
      <xdr:colOff>342900</xdr:colOff>
      <xdr:row>1</xdr:row>
      <xdr:rowOff>114301</xdr:rowOff>
    </xdr:from>
    <xdr:to>
      <xdr:col>2</xdr:col>
      <xdr:colOff>874125</xdr:colOff>
      <xdr:row>3</xdr:row>
      <xdr:rowOff>57301</xdr:rowOff>
    </xdr:to>
    <xdr:sp macro="" textlink="">
      <xdr:nvSpPr>
        <xdr:cNvPr id="2" name="Rectangle à coins arrondis 2">
          <a:hlinkClick xmlns:r="http://schemas.openxmlformats.org/officeDocument/2006/relationships" r:id="rId1" tooltip="Back to H&amp;C"/>
          <a:extLst>
            <a:ext uri="{FF2B5EF4-FFF2-40B4-BE49-F238E27FC236}">
              <a16:creationId xmlns:a16="http://schemas.microsoft.com/office/drawing/2014/main" id="{00000000-0008-0000-2200-000002000000}"/>
            </a:ext>
          </a:extLst>
        </xdr:cNvPr>
        <xdr:cNvSpPr>
          <a:spLocks noChangeArrowheads="1"/>
        </xdr:cNvSpPr>
      </xdr:nvSpPr>
      <xdr:spPr bwMode="auto">
        <a:xfrm>
          <a:off x="342900" y="409576"/>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323850</xdr:colOff>
      <xdr:row>1</xdr:row>
      <xdr:rowOff>104775</xdr:rowOff>
    </xdr:from>
    <xdr:to>
      <xdr:col>5</xdr:col>
      <xdr:colOff>26400</xdr:colOff>
      <xdr:row>3</xdr:row>
      <xdr:rowOff>47775</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2200-000003000000}"/>
            </a:ext>
          </a:extLst>
        </xdr:cNvPr>
        <xdr:cNvSpPr>
          <a:spLocks noChangeArrowheads="1"/>
        </xdr:cNvSpPr>
      </xdr:nvSpPr>
      <xdr:spPr bwMode="auto">
        <a:xfrm>
          <a:off x="3086100" y="4000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57150</xdr:colOff>
      <xdr:row>22</xdr:row>
      <xdr:rowOff>695325</xdr:rowOff>
    </xdr:from>
    <xdr:to>
      <xdr:col>1</xdr:col>
      <xdr:colOff>597150</xdr:colOff>
      <xdr:row>24</xdr:row>
      <xdr:rowOff>301875</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150" y="5257800"/>
          <a:ext cx="540000" cy="540000"/>
        </a:xfrm>
        <a:prstGeom prst="rect">
          <a:avLst/>
        </a:prstGeom>
      </xdr:spPr>
    </xdr:pic>
    <xdr:clientData/>
  </xdr:twoCellAnchor>
  <xdr:twoCellAnchor editAs="oneCell">
    <xdr:from>
      <xdr:col>1</xdr:col>
      <xdr:colOff>38100</xdr:colOff>
      <xdr:row>31</xdr:row>
      <xdr:rowOff>0</xdr:rowOff>
    </xdr:from>
    <xdr:to>
      <xdr:col>1</xdr:col>
      <xdr:colOff>434100</xdr:colOff>
      <xdr:row>33</xdr:row>
      <xdr:rowOff>15000</xdr:rowOff>
    </xdr:to>
    <xdr:pic>
      <xdr:nvPicPr>
        <xdr:cNvPr id="5" name="Picture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7477125"/>
          <a:ext cx="396000" cy="396000"/>
        </a:xfrm>
        <a:prstGeom prst="rect">
          <a:avLst/>
        </a:prstGeom>
      </xdr:spPr>
    </xdr:pic>
    <xdr:clientData/>
  </xdr:twoCellAnchor>
  <xdr:twoCellAnchor editAs="oneCell">
    <xdr:from>
      <xdr:col>1</xdr:col>
      <xdr:colOff>19050</xdr:colOff>
      <xdr:row>15</xdr:row>
      <xdr:rowOff>152400</xdr:rowOff>
    </xdr:from>
    <xdr:to>
      <xdr:col>1</xdr:col>
      <xdr:colOff>487050</xdr:colOff>
      <xdr:row>18</xdr:row>
      <xdr:rowOff>48900</xdr:rowOff>
    </xdr:to>
    <xdr:pic>
      <xdr:nvPicPr>
        <xdr:cNvPr id="6" name="Picture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0050" y="3457575"/>
          <a:ext cx="468000" cy="468000"/>
        </a:xfrm>
        <a:prstGeom prst="rect">
          <a:avLst/>
        </a:prstGeom>
      </xdr:spPr>
    </xdr:pic>
    <xdr:clientData/>
  </xdr:twoCellAnchor>
  <xdr:twoCellAnchor>
    <xdr:from>
      <xdr:col>8</xdr:col>
      <xdr:colOff>504825</xdr:colOff>
      <xdr:row>1</xdr:row>
      <xdr:rowOff>104775</xdr:rowOff>
    </xdr:from>
    <xdr:to>
      <xdr:col>8</xdr:col>
      <xdr:colOff>952500</xdr:colOff>
      <xdr:row>3</xdr:row>
      <xdr:rowOff>76200</xdr:rowOff>
    </xdr:to>
    <xdr:sp macro="" textlink="">
      <xdr:nvSpPr>
        <xdr:cNvPr id="7" name="Up Arrow 6">
          <a:hlinkClick xmlns:r="http://schemas.openxmlformats.org/officeDocument/2006/relationships" r:id="rId6" tooltip="Back to top"/>
          <a:extLst>
            <a:ext uri="{FF2B5EF4-FFF2-40B4-BE49-F238E27FC236}">
              <a16:creationId xmlns:a16="http://schemas.microsoft.com/office/drawing/2014/main" id="{00000000-0008-0000-2200-000007000000}"/>
            </a:ext>
          </a:extLst>
        </xdr:cNvPr>
        <xdr:cNvSpPr/>
      </xdr:nvSpPr>
      <xdr:spPr>
        <a:xfrm>
          <a:off x="9572625"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371475</xdr:colOff>
      <xdr:row>1</xdr:row>
      <xdr:rowOff>123826</xdr:rowOff>
    </xdr:from>
    <xdr:to>
      <xdr:col>2</xdr:col>
      <xdr:colOff>902700</xdr:colOff>
      <xdr:row>3</xdr:row>
      <xdr:rowOff>66826</xdr:rowOff>
    </xdr:to>
    <xdr:sp macro="" textlink="">
      <xdr:nvSpPr>
        <xdr:cNvPr id="2" name="Rectangle à coins arrondis 2">
          <a:hlinkClick xmlns:r="http://schemas.openxmlformats.org/officeDocument/2006/relationships" r:id="rId1" tooltip="Back to H&amp;C"/>
          <a:extLst>
            <a:ext uri="{FF2B5EF4-FFF2-40B4-BE49-F238E27FC236}">
              <a16:creationId xmlns:a16="http://schemas.microsoft.com/office/drawing/2014/main" id="{00000000-0008-0000-2300-000002000000}"/>
            </a:ext>
          </a:extLst>
        </xdr:cNvPr>
        <xdr:cNvSpPr>
          <a:spLocks noChangeArrowheads="1"/>
        </xdr:cNvSpPr>
      </xdr:nvSpPr>
      <xdr:spPr bwMode="auto">
        <a:xfrm>
          <a:off x="371475" y="419101"/>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1238248</xdr:colOff>
      <xdr:row>1</xdr:row>
      <xdr:rowOff>114300</xdr:rowOff>
    </xdr:from>
    <xdr:to>
      <xdr:col>4</xdr:col>
      <xdr:colOff>694123</xdr:colOff>
      <xdr:row>3</xdr:row>
      <xdr:rowOff>57300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2300-000003000000}"/>
            </a:ext>
          </a:extLst>
        </xdr:cNvPr>
        <xdr:cNvSpPr>
          <a:spLocks noChangeArrowheads="1"/>
        </xdr:cNvSpPr>
      </xdr:nvSpPr>
      <xdr:spPr bwMode="auto">
        <a:xfrm>
          <a:off x="2867023" y="4476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7</xdr:col>
      <xdr:colOff>85725</xdr:colOff>
      <xdr:row>1</xdr:row>
      <xdr:rowOff>123825</xdr:rowOff>
    </xdr:from>
    <xdr:to>
      <xdr:col>7</xdr:col>
      <xdr:colOff>495300</xdr:colOff>
      <xdr:row>3</xdr:row>
      <xdr:rowOff>95250</xdr:rowOff>
    </xdr:to>
    <xdr:sp macro="" textlink="">
      <xdr:nvSpPr>
        <xdr:cNvPr id="10" name="Up Arrow 9">
          <a:hlinkClick xmlns:r="http://schemas.openxmlformats.org/officeDocument/2006/relationships" r:id="rId3" tooltip="Back to top"/>
          <a:extLst>
            <a:ext uri="{FF2B5EF4-FFF2-40B4-BE49-F238E27FC236}">
              <a16:creationId xmlns:a16="http://schemas.microsoft.com/office/drawing/2014/main" id="{00000000-0008-0000-2300-00000A000000}"/>
            </a:ext>
          </a:extLst>
        </xdr:cNvPr>
        <xdr:cNvSpPr/>
      </xdr:nvSpPr>
      <xdr:spPr>
        <a:xfrm>
          <a:off x="7848600" y="419100"/>
          <a:ext cx="4095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28575</xdr:colOff>
      <xdr:row>14</xdr:row>
      <xdr:rowOff>104775</xdr:rowOff>
    </xdr:from>
    <xdr:to>
      <xdr:col>1</xdr:col>
      <xdr:colOff>388575</xdr:colOff>
      <xdr:row>16</xdr:row>
      <xdr:rowOff>83775</xdr:rowOff>
    </xdr:to>
    <xdr:pic>
      <xdr:nvPicPr>
        <xdr:cNvPr id="11" name="Picture 10">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2900" y="6200775"/>
          <a:ext cx="360000" cy="360000"/>
        </a:xfrm>
        <a:prstGeom prst="rect">
          <a:avLst/>
        </a:prstGeom>
      </xdr:spPr>
    </xdr:pic>
    <xdr:clientData/>
  </xdr:twoCellAnchor>
  <xdr:twoCellAnchor editAs="oneCell">
    <xdr:from>
      <xdr:col>1</xdr:col>
      <xdr:colOff>38100</xdr:colOff>
      <xdr:row>19</xdr:row>
      <xdr:rowOff>47625</xdr:rowOff>
    </xdr:from>
    <xdr:to>
      <xdr:col>1</xdr:col>
      <xdr:colOff>578100</xdr:colOff>
      <xdr:row>21</xdr:row>
      <xdr:rowOff>197100</xdr:rowOff>
    </xdr:to>
    <xdr:pic>
      <xdr:nvPicPr>
        <xdr:cNvPr id="14" name="Picture 13">
          <a:extLst>
            <a:ext uri="{FF2B5EF4-FFF2-40B4-BE49-F238E27FC236}">
              <a16:creationId xmlns:a16="http://schemas.microsoft.com/office/drawing/2014/main" id="{00000000-0008-0000-23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9100" y="3943350"/>
          <a:ext cx="540000" cy="549525"/>
        </a:xfrm>
        <a:prstGeom prst="rect">
          <a:avLst/>
        </a:prstGeom>
      </xdr:spPr>
    </xdr:pic>
    <xdr:clientData/>
  </xdr:twoCellAnchor>
  <xdr:twoCellAnchor editAs="oneCell">
    <xdr:from>
      <xdr:col>1</xdr:col>
      <xdr:colOff>47625</xdr:colOff>
      <xdr:row>25</xdr:row>
      <xdr:rowOff>85725</xdr:rowOff>
    </xdr:from>
    <xdr:to>
      <xdr:col>1</xdr:col>
      <xdr:colOff>443625</xdr:colOff>
      <xdr:row>27</xdr:row>
      <xdr:rowOff>100725</xdr:rowOff>
    </xdr:to>
    <xdr:pic>
      <xdr:nvPicPr>
        <xdr:cNvPr id="15" name="Picture 14">
          <a:extLst>
            <a:ext uri="{FF2B5EF4-FFF2-40B4-BE49-F238E27FC236}">
              <a16:creationId xmlns:a16="http://schemas.microsoft.com/office/drawing/2014/main" id="{00000000-0008-0000-23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8625" y="5543550"/>
          <a:ext cx="396000" cy="396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57150</xdr:colOff>
      <xdr:row>1</xdr:row>
      <xdr:rowOff>114301</xdr:rowOff>
    </xdr:from>
    <xdr:to>
      <xdr:col>2</xdr:col>
      <xdr:colOff>431625</xdr:colOff>
      <xdr:row>3</xdr:row>
      <xdr:rowOff>57301</xdr:rowOff>
    </xdr:to>
    <xdr:sp macro="" textlink="">
      <xdr:nvSpPr>
        <xdr:cNvPr id="2" name="Rectangle à coins arrondis 2">
          <a:hlinkClick xmlns:r="http://schemas.openxmlformats.org/officeDocument/2006/relationships" r:id="rId1" tooltip="Back to H&amp;C"/>
          <a:extLst>
            <a:ext uri="{FF2B5EF4-FFF2-40B4-BE49-F238E27FC236}">
              <a16:creationId xmlns:a16="http://schemas.microsoft.com/office/drawing/2014/main" id="{00000000-0008-0000-2400-000002000000}"/>
            </a:ext>
          </a:extLst>
        </xdr:cNvPr>
        <xdr:cNvSpPr>
          <a:spLocks noChangeArrowheads="1"/>
        </xdr:cNvSpPr>
      </xdr:nvSpPr>
      <xdr:spPr bwMode="auto">
        <a:xfrm>
          <a:off x="57150" y="409576"/>
          <a:ext cx="188895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523875</xdr:colOff>
      <xdr:row>1</xdr:row>
      <xdr:rowOff>114300</xdr:rowOff>
    </xdr:from>
    <xdr:to>
      <xdr:col>3</xdr:col>
      <xdr:colOff>780675</xdr:colOff>
      <xdr:row>3</xdr:row>
      <xdr:rowOff>57300</xdr:rowOff>
    </xdr:to>
    <xdr:sp macro="" textlink="">
      <xdr:nvSpPr>
        <xdr:cNvPr id="3" name="Rectangle à coins arrondis 4">
          <a:hlinkClick xmlns:r="http://schemas.openxmlformats.org/officeDocument/2006/relationships" r:id="rId2" tooltip="Scorecard"/>
          <a:extLst>
            <a:ext uri="{FF2B5EF4-FFF2-40B4-BE49-F238E27FC236}">
              <a16:creationId xmlns:a16="http://schemas.microsoft.com/office/drawing/2014/main" id="{00000000-0008-0000-2400-000003000000}"/>
            </a:ext>
          </a:extLst>
        </xdr:cNvPr>
        <xdr:cNvSpPr>
          <a:spLocks noChangeArrowheads="1"/>
        </xdr:cNvSpPr>
      </xdr:nvSpPr>
      <xdr:spPr bwMode="auto">
        <a:xfrm>
          <a:off x="2038350" y="409575"/>
          <a:ext cx="1476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600075</xdr:colOff>
      <xdr:row>1</xdr:row>
      <xdr:rowOff>142875</xdr:rowOff>
    </xdr:from>
    <xdr:to>
      <xdr:col>5</xdr:col>
      <xdr:colOff>235350</xdr:colOff>
      <xdr:row>3</xdr:row>
      <xdr:rowOff>49875</xdr:rowOff>
    </xdr:to>
    <xdr:sp macro="" textlink="">
      <xdr:nvSpPr>
        <xdr:cNvPr id="4" name="Rectangle à coins arrondis 2">
          <a:hlinkClick xmlns:r="http://schemas.openxmlformats.org/officeDocument/2006/relationships" r:id="rId3" tooltip="Strategy A"/>
          <a:extLst>
            <a:ext uri="{FF2B5EF4-FFF2-40B4-BE49-F238E27FC236}">
              <a16:creationId xmlns:a16="http://schemas.microsoft.com/office/drawing/2014/main" id="{00000000-0008-0000-2400-000004000000}"/>
            </a:ext>
          </a:extLst>
        </xdr:cNvPr>
        <xdr:cNvSpPr>
          <a:spLocks noChangeArrowheads="1"/>
        </xdr:cNvSpPr>
      </xdr:nvSpPr>
      <xdr:spPr bwMode="auto">
        <a:xfrm>
          <a:off x="4562475"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266700</xdr:colOff>
      <xdr:row>1</xdr:row>
      <xdr:rowOff>142875</xdr:rowOff>
    </xdr:from>
    <xdr:to>
      <xdr:col>5</xdr:col>
      <xdr:colOff>1130700</xdr:colOff>
      <xdr:row>3</xdr:row>
      <xdr:rowOff>49875</xdr:rowOff>
    </xdr:to>
    <xdr:sp macro="" textlink="">
      <xdr:nvSpPr>
        <xdr:cNvPr id="5" name="Rectangle à coins arrondis 2">
          <a:hlinkClick xmlns:r="http://schemas.openxmlformats.org/officeDocument/2006/relationships" r:id="rId4" tooltip="Strategy B"/>
          <a:extLst>
            <a:ext uri="{FF2B5EF4-FFF2-40B4-BE49-F238E27FC236}">
              <a16:creationId xmlns:a16="http://schemas.microsoft.com/office/drawing/2014/main" id="{00000000-0008-0000-2400-000005000000}"/>
            </a:ext>
          </a:extLst>
        </xdr:cNvPr>
        <xdr:cNvSpPr>
          <a:spLocks noChangeArrowheads="1"/>
        </xdr:cNvSpPr>
      </xdr:nvSpPr>
      <xdr:spPr bwMode="auto">
        <a:xfrm>
          <a:off x="5457825"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5</xdr:col>
      <xdr:colOff>1162049</xdr:colOff>
      <xdr:row>1</xdr:row>
      <xdr:rowOff>142875</xdr:rowOff>
    </xdr:from>
    <xdr:to>
      <xdr:col>6</xdr:col>
      <xdr:colOff>797324</xdr:colOff>
      <xdr:row>3</xdr:row>
      <xdr:rowOff>49875</xdr:rowOff>
    </xdr:to>
    <xdr:sp macro="" textlink="">
      <xdr:nvSpPr>
        <xdr:cNvPr id="6" name="Rectangle à coins arrondis 2">
          <a:hlinkClick xmlns:r="http://schemas.openxmlformats.org/officeDocument/2006/relationships" r:id="rId5" tooltip="Strategy C"/>
          <a:extLst>
            <a:ext uri="{FF2B5EF4-FFF2-40B4-BE49-F238E27FC236}">
              <a16:creationId xmlns:a16="http://schemas.microsoft.com/office/drawing/2014/main" id="{00000000-0008-0000-2400-000006000000}"/>
            </a:ext>
          </a:extLst>
        </xdr:cNvPr>
        <xdr:cNvSpPr>
          <a:spLocks noChangeArrowheads="1"/>
        </xdr:cNvSpPr>
      </xdr:nvSpPr>
      <xdr:spPr bwMode="auto">
        <a:xfrm>
          <a:off x="6353174"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6</xdr:col>
      <xdr:colOff>828674</xdr:colOff>
      <xdr:row>1</xdr:row>
      <xdr:rowOff>142875</xdr:rowOff>
    </xdr:from>
    <xdr:to>
      <xdr:col>7</xdr:col>
      <xdr:colOff>397274</xdr:colOff>
      <xdr:row>3</xdr:row>
      <xdr:rowOff>49875</xdr:rowOff>
    </xdr:to>
    <xdr:sp macro="" textlink="">
      <xdr:nvSpPr>
        <xdr:cNvPr id="7" name="Rectangle à coins arrondis 2">
          <a:hlinkClick xmlns:r="http://schemas.openxmlformats.org/officeDocument/2006/relationships" r:id="rId6" tooltip="Strategy D"/>
          <a:extLst>
            <a:ext uri="{FF2B5EF4-FFF2-40B4-BE49-F238E27FC236}">
              <a16:creationId xmlns:a16="http://schemas.microsoft.com/office/drawing/2014/main" id="{00000000-0008-0000-2400-000007000000}"/>
            </a:ext>
          </a:extLst>
        </xdr:cNvPr>
        <xdr:cNvSpPr>
          <a:spLocks noChangeArrowheads="1"/>
        </xdr:cNvSpPr>
      </xdr:nvSpPr>
      <xdr:spPr bwMode="auto">
        <a:xfrm>
          <a:off x="7248524"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editAs="oneCell">
    <xdr:from>
      <xdr:col>1</xdr:col>
      <xdr:colOff>9525</xdr:colOff>
      <xdr:row>28</xdr:row>
      <xdr:rowOff>66675</xdr:rowOff>
    </xdr:from>
    <xdr:to>
      <xdr:col>1</xdr:col>
      <xdr:colOff>405525</xdr:colOff>
      <xdr:row>30</xdr:row>
      <xdr:rowOff>110250</xdr:rowOff>
    </xdr:to>
    <xdr:pic>
      <xdr:nvPicPr>
        <xdr:cNvPr id="8" name="Picture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4800" y="6877050"/>
          <a:ext cx="396000" cy="396000"/>
        </a:xfrm>
        <a:prstGeom prst="rect">
          <a:avLst/>
        </a:prstGeom>
      </xdr:spPr>
    </xdr:pic>
    <xdr:clientData/>
  </xdr:twoCellAnchor>
  <xdr:twoCellAnchor editAs="oneCell">
    <xdr:from>
      <xdr:col>1</xdr:col>
      <xdr:colOff>28575</xdr:colOff>
      <xdr:row>30</xdr:row>
      <xdr:rowOff>161925</xdr:rowOff>
    </xdr:from>
    <xdr:to>
      <xdr:col>1</xdr:col>
      <xdr:colOff>388575</xdr:colOff>
      <xdr:row>32</xdr:row>
      <xdr:rowOff>102825</xdr:rowOff>
    </xdr:to>
    <xdr:pic>
      <xdr:nvPicPr>
        <xdr:cNvPr id="9" name="Picture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850" y="7324725"/>
          <a:ext cx="360000" cy="360000"/>
        </a:xfrm>
        <a:prstGeom prst="rect">
          <a:avLst/>
        </a:prstGeom>
      </xdr:spPr>
    </xdr:pic>
    <xdr:clientData/>
  </xdr:twoCellAnchor>
  <xdr:oneCellAnchor>
    <xdr:from>
      <xdr:col>1</xdr:col>
      <xdr:colOff>38100</xdr:colOff>
      <xdr:row>32</xdr:row>
      <xdr:rowOff>152400</xdr:rowOff>
    </xdr:from>
    <xdr:ext cx="360000" cy="360000"/>
    <xdr:pic>
      <xdr:nvPicPr>
        <xdr:cNvPr id="10" name="Picture 9">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7734300"/>
          <a:ext cx="360000" cy="360000"/>
        </a:xfrm>
        <a:prstGeom prst="rect">
          <a:avLst/>
        </a:prstGeom>
      </xdr:spPr>
    </xdr:pic>
    <xdr:clientData/>
  </xdr:oneCellAnchor>
  <xdr:oneCellAnchor>
    <xdr:from>
      <xdr:col>1</xdr:col>
      <xdr:colOff>0</xdr:colOff>
      <xdr:row>63</xdr:row>
      <xdr:rowOff>47625</xdr:rowOff>
    </xdr:from>
    <xdr:ext cx="396000" cy="396000"/>
    <xdr:pic>
      <xdr:nvPicPr>
        <xdr:cNvPr id="11" name="Picture 10">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 y="14554200"/>
          <a:ext cx="396000" cy="396000"/>
        </a:xfrm>
        <a:prstGeom prst="rect">
          <a:avLst/>
        </a:prstGeom>
      </xdr:spPr>
    </xdr:pic>
    <xdr:clientData/>
  </xdr:oneCellAnchor>
  <xdr:oneCellAnchor>
    <xdr:from>
      <xdr:col>1</xdr:col>
      <xdr:colOff>28575</xdr:colOff>
      <xdr:row>65</xdr:row>
      <xdr:rowOff>161925</xdr:rowOff>
    </xdr:from>
    <xdr:ext cx="360000" cy="360000"/>
    <xdr:pic>
      <xdr:nvPicPr>
        <xdr:cNvPr id="12" name="Picture 11">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850" y="15030450"/>
          <a:ext cx="360000" cy="360000"/>
        </a:xfrm>
        <a:prstGeom prst="rect">
          <a:avLst/>
        </a:prstGeom>
      </xdr:spPr>
    </xdr:pic>
    <xdr:clientData/>
  </xdr:oneCellAnchor>
  <xdr:oneCellAnchor>
    <xdr:from>
      <xdr:col>1</xdr:col>
      <xdr:colOff>38100</xdr:colOff>
      <xdr:row>67</xdr:row>
      <xdr:rowOff>152400</xdr:rowOff>
    </xdr:from>
    <xdr:ext cx="360000" cy="360000"/>
    <xdr:pic>
      <xdr:nvPicPr>
        <xdr:cNvPr id="13" name="Picture 12">
          <a:extLst>
            <a:ext uri="{FF2B5EF4-FFF2-40B4-BE49-F238E27FC236}">
              <a16:creationId xmlns:a16="http://schemas.microsoft.com/office/drawing/2014/main" id="{00000000-0008-0000-24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15440025"/>
          <a:ext cx="360000" cy="360000"/>
        </a:xfrm>
        <a:prstGeom prst="rect">
          <a:avLst/>
        </a:prstGeom>
      </xdr:spPr>
    </xdr:pic>
    <xdr:clientData/>
  </xdr:oneCellAnchor>
  <xdr:oneCellAnchor>
    <xdr:from>
      <xdr:col>1</xdr:col>
      <xdr:colOff>9525</xdr:colOff>
      <xdr:row>98</xdr:row>
      <xdr:rowOff>57150</xdr:rowOff>
    </xdr:from>
    <xdr:ext cx="396000" cy="396000"/>
    <xdr:pic>
      <xdr:nvPicPr>
        <xdr:cNvPr id="14" name="Picture 13">
          <a:extLst>
            <a:ext uri="{FF2B5EF4-FFF2-40B4-BE49-F238E27FC236}">
              <a16:creationId xmlns:a16="http://schemas.microsoft.com/office/drawing/2014/main" id="{00000000-0008-0000-24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4800" y="22336125"/>
          <a:ext cx="396000" cy="396000"/>
        </a:xfrm>
        <a:prstGeom prst="rect">
          <a:avLst/>
        </a:prstGeom>
      </xdr:spPr>
    </xdr:pic>
    <xdr:clientData/>
  </xdr:oneCellAnchor>
  <xdr:oneCellAnchor>
    <xdr:from>
      <xdr:col>1</xdr:col>
      <xdr:colOff>28575</xdr:colOff>
      <xdr:row>101</xdr:row>
      <xdr:rowOff>19050</xdr:rowOff>
    </xdr:from>
    <xdr:ext cx="360000" cy="360000"/>
    <xdr:pic>
      <xdr:nvPicPr>
        <xdr:cNvPr id="15" name="Picture 14">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850" y="22898100"/>
          <a:ext cx="360000" cy="360000"/>
        </a:xfrm>
        <a:prstGeom prst="rect">
          <a:avLst/>
        </a:prstGeom>
      </xdr:spPr>
    </xdr:pic>
    <xdr:clientData/>
  </xdr:oneCellAnchor>
  <xdr:oneCellAnchor>
    <xdr:from>
      <xdr:col>1</xdr:col>
      <xdr:colOff>38100</xdr:colOff>
      <xdr:row>103</xdr:row>
      <xdr:rowOff>152400</xdr:rowOff>
    </xdr:from>
    <xdr:ext cx="360000" cy="360000"/>
    <xdr:pic>
      <xdr:nvPicPr>
        <xdr:cNvPr id="16" name="Picture 15">
          <a:extLst>
            <a:ext uri="{FF2B5EF4-FFF2-40B4-BE49-F238E27FC236}">
              <a16:creationId xmlns:a16="http://schemas.microsoft.com/office/drawing/2014/main" id="{00000000-0008-0000-2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23412450"/>
          <a:ext cx="360000" cy="360000"/>
        </a:xfrm>
        <a:prstGeom prst="rect">
          <a:avLst/>
        </a:prstGeom>
      </xdr:spPr>
    </xdr:pic>
    <xdr:clientData/>
  </xdr:oneCellAnchor>
  <xdr:twoCellAnchor>
    <xdr:from>
      <xdr:col>7</xdr:col>
      <xdr:colOff>1343025</xdr:colOff>
      <xdr:row>1</xdr:row>
      <xdr:rowOff>104775</xdr:rowOff>
    </xdr:from>
    <xdr:to>
      <xdr:col>8</xdr:col>
      <xdr:colOff>314325</xdr:colOff>
      <xdr:row>3</xdr:row>
      <xdr:rowOff>76200</xdr:rowOff>
    </xdr:to>
    <xdr:sp macro="" textlink="">
      <xdr:nvSpPr>
        <xdr:cNvPr id="17" name="Up Arrow 16">
          <a:hlinkClick xmlns:r="http://schemas.openxmlformats.org/officeDocument/2006/relationships" r:id="rId10" tooltip="Back to top"/>
          <a:extLst>
            <a:ext uri="{FF2B5EF4-FFF2-40B4-BE49-F238E27FC236}">
              <a16:creationId xmlns:a16="http://schemas.microsoft.com/office/drawing/2014/main" id="{00000000-0008-0000-2400-000011000000}"/>
            </a:ext>
          </a:extLst>
        </xdr:cNvPr>
        <xdr:cNvSpPr/>
      </xdr:nvSpPr>
      <xdr:spPr>
        <a:xfrm>
          <a:off x="9058275"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923925</xdr:colOff>
      <xdr:row>1</xdr:row>
      <xdr:rowOff>142875</xdr:rowOff>
    </xdr:from>
    <xdr:to>
      <xdr:col>4</xdr:col>
      <xdr:colOff>559200</xdr:colOff>
      <xdr:row>3</xdr:row>
      <xdr:rowOff>49875</xdr:rowOff>
    </xdr:to>
    <xdr:sp macro="" textlink="">
      <xdr:nvSpPr>
        <xdr:cNvPr id="18" name="Rectangle à coins arrondis 2">
          <a:hlinkClick xmlns:r="http://schemas.openxmlformats.org/officeDocument/2006/relationships" r:id="rId11" tooltip="Glossary of the credit"/>
          <a:extLst>
            <a:ext uri="{FF2B5EF4-FFF2-40B4-BE49-F238E27FC236}">
              <a16:creationId xmlns:a16="http://schemas.microsoft.com/office/drawing/2014/main" id="{00000000-0008-0000-2400-000012000000}"/>
            </a:ext>
          </a:extLst>
        </xdr:cNvPr>
        <xdr:cNvSpPr>
          <a:spLocks noChangeArrowheads="1"/>
        </xdr:cNvSpPr>
      </xdr:nvSpPr>
      <xdr:spPr bwMode="auto">
        <a:xfrm>
          <a:off x="3657600"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Glossary</a:t>
          </a:r>
        </a:p>
      </xdr:txBody>
    </xdr:sp>
    <xdr:clientData/>
  </xdr:twoCellAnchor>
  <xdr:twoCellAnchor>
    <xdr:from>
      <xdr:col>7</xdr:col>
      <xdr:colOff>428624</xdr:colOff>
      <xdr:row>1</xdr:row>
      <xdr:rowOff>142875</xdr:rowOff>
    </xdr:from>
    <xdr:to>
      <xdr:col>7</xdr:col>
      <xdr:colOff>1292624</xdr:colOff>
      <xdr:row>3</xdr:row>
      <xdr:rowOff>49875</xdr:rowOff>
    </xdr:to>
    <xdr:sp macro="" textlink="">
      <xdr:nvSpPr>
        <xdr:cNvPr id="19" name="Rectangle à coins arrondis 2">
          <a:hlinkClick xmlns:r="http://schemas.openxmlformats.org/officeDocument/2006/relationships" r:id="rId12" tooltip="Strategy E"/>
          <a:extLst>
            <a:ext uri="{FF2B5EF4-FFF2-40B4-BE49-F238E27FC236}">
              <a16:creationId xmlns:a16="http://schemas.microsoft.com/office/drawing/2014/main" id="{00000000-0008-0000-2400-000013000000}"/>
            </a:ext>
          </a:extLst>
        </xdr:cNvPr>
        <xdr:cNvSpPr>
          <a:spLocks noChangeArrowheads="1"/>
        </xdr:cNvSpPr>
      </xdr:nvSpPr>
      <xdr:spPr bwMode="auto">
        <a:xfrm>
          <a:off x="8143874"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E</a:t>
          </a:r>
        </a:p>
      </xdr:txBody>
    </xdr:sp>
    <xdr:clientData/>
  </xdr:twoCellAnchor>
  <xdr:twoCellAnchor editAs="oneCell">
    <xdr:from>
      <xdr:col>1</xdr:col>
      <xdr:colOff>28575</xdr:colOff>
      <xdr:row>20</xdr:row>
      <xdr:rowOff>180975</xdr:rowOff>
    </xdr:from>
    <xdr:to>
      <xdr:col>1</xdr:col>
      <xdr:colOff>530621</xdr:colOff>
      <xdr:row>22</xdr:row>
      <xdr:rowOff>303975</xdr:rowOff>
    </xdr:to>
    <xdr:pic>
      <xdr:nvPicPr>
        <xdr:cNvPr id="20" name="Picture 19">
          <a:extLst>
            <a:ext uri="{FF2B5EF4-FFF2-40B4-BE49-F238E27FC236}">
              <a16:creationId xmlns:a16="http://schemas.microsoft.com/office/drawing/2014/main" id="{00000000-0008-0000-2400-00001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23850" y="5229225"/>
          <a:ext cx="502046" cy="504000"/>
        </a:xfrm>
        <a:prstGeom prst="rect">
          <a:avLst/>
        </a:prstGeom>
      </xdr:spPr>
    </xdr:pic>
    <xdr:clientData/>
  </xdr:twoCellAnchor>
  <xdr:oneCellAnchor>
    <xdr:from>
      <xdr:col>1</xdr:col>
      <xdr:colOff>9525</xdr:colOff>
      <xdr:row>176</xdr:row>
      <xdr:rowOff>57150</xdr:rowOff>
    </xdr:from>
    <xdr:ext cx="396000" cy="396000"/>
    <xdr:pic>
      <xdr:nvPicPr>
        <xdr:cNvPr id="21" name="Picture 20">
          <a:extLst>
            <a:ext uri="{FF2B5EF4-FFF2-40B4-BE49-F238E27FC236}">
              <a16:creationId xmlns:a16="http://schemas.microsoft.com/office/drawing/2014/main" id="{00000000-0008-0000-24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4800" y="39414450"/>
          <a:ext cx="396000" cy="396000"/>
        </a:xfrm>
        <a:prstGeom prst="rect">
          <a:avLst/>
        </a:prstGeom>
      </xdr:spPr>
    </xdr:pic>
    <xdr:clientData/>
  </xdr:oneCellAnchor>
  <xdr:oneCellAnchor>
    <xdr:from>
      <xdr:col>1</xdr:col>
      <xdr:colOff>47625</xdr:colOff>
      <xdr:row>178</xdr:row>
      <xdr:rowOff>200025</xdr:rowOff>
    </xdr:from>
    <xdr:ext cx="360000" cy="360000"/>
    <xdr:pic>
      <xdr:nvPicPr>
        <xdr:cNvPr id="22" name="Picture 21">
          <a:extLst>
            <a:ext uri="{FF2B5EF4-FFF2-40B4-BE49-F238E27FC236}">
              <a16:creationId xmlns:a16="http://schemas.microsoft.com/office/drawing/2014/main" id="{00000000-0008-0000-2400-00001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39928800"/>
          <a:ext cx="360000" cy="360000"/>
        </a:xfrm>
        <a:prstGeom prst="rect">
          <a:avLst/>
        </a:prstGeom>
      </xdr:spPr>
    </xdr:pic>
    <xdr:clientData/>
  </xdr:oneCellAnchor>
  <xdr:oneCellAnchor>
    <xdr:from>
      <xdr:col>1</xdr:col>
      <xdr:colOff>38100</xdr:colOff>
      <xdr:row>181</xdr:row>
      <xdr:rowOff>47625</xdr:rowOff>
    </xdr:from>
    <xdr:ext cx="360000" cy="360000"/>
    <xdr:pic>
      <xdr:nvPicPr>
        <xdr:cNvPr id="23" name="Picture 22">
          <a:extLst>
            <a:ext uri="{FF2B5EF4-FFF2-40B4-BE49-F238E27FC236}">
              <a16:creationId xmlns:a16="http://schemas.microsoft.com/office/drawing/2014/main" id="{00000000-0008-0000-2400-00001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40395525"/>
          <a:ext cx="360000" cy="360000"/>
        </a:xfrm>
        <a:prstGeom prst="rect">
          <a:avLst/>
        </a:prstGeom>
      </xdr:spPr>
    </xdr:pic>
    <xdr:clientData/>
  </xdr:oneCellAnchor>
  <xdr:oneCellAnchor>
    <xdr:from>
      <xdr:col>1</xdr:col>
      <xdr:colOff>76200</xdr:colOff>
      <xdr:row>137</xdr:row>
      <xdr:rowOff>9525</xdr:rowOff>
    </xdr:from>
    <xdr:ext cx="468000" cy="468000"/>
    <xdr:pic>
      <xdr:nvPicPr>
        <xdr:cNvPr id="24" name="Picture 23">
          <a:extLst>
            <a:ext uri="{FF2B5EF4-FFF2-40B4-BE49-F238E27FC236}">
              <a16:creationId xmlns:a16="http://schemas.microsoft.com/office/drawing/2014/main" id="{00000000-0008-0000-2400-00001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5" y="30784800"/>
          <a:ext cx="468000" cy="468000"/>
        </a:xfrm>
        <a:prstGeom prst="rect">
          <a:avLst/>
        </a:prstGeom>
      </xdr:spPr>
    </xdr:pic>
    <xdr:clientData/>
  </xdr:oneCellAnchor>
  <xdr:oneCellAnchor>
    <xdr:from>
      <xdr:col>1</xdr:col>
      <xdr:colOff>38100</xdr:colOff>
      <xdr:row>145</xdr:row>
      <xdr:rowOff>152400</xdr:rowOff>
    </xdr:from>
    <xdr:ext cx="360000" cy="360000"/>
    <xdr:pic>
      <xdr:nvPicPr>
        <xdr:cNvPr id="25" name="Picture 24">
          <a:extLst>
            <a:ext uri="{FF2B5EF4-FFF2-40B4-BE49-F238E27FC236}">
              <a16:creationId xmlns:a16="http://schemas.microsoft.com/office/drawing/2014/main" id="{00000000-0008-0000-2400-00001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32508825"/>
          <a:ext cx="360000" cy="360000"/>
        </a:xfrm>
        <a:prstGeom prst="rect">
          <a:avLst/>
        </a:prstGeom>
      </xdr:spPr>
    </xdr:pic>
    <xdr:clientData/>
  </xdr:oneCellAnchor>
  <xdr:oneCellAnchor>
    <xdr:from>
      <xdr:col>1</xdr:col>
      <xdr:colOff>38100</xdr:colOff>
      <xdr:row>143</xdr:row>
      <xdr:rowOff>38100</xdr:rowOff>
    </xdr:from>
    <xdr:ext cx="360000" cy="360000"/>
    <xdr:pic>
      <xdr:nvPicPr>
        <xdr:cNvPr id="26" name="Picture 25">
          <a:extLst>
            <a:ext uri="{FF2B5EF4-FFF2-40B4-BE49-F238E27FC236}">
              <a16:creationId xmlns:a16="http://schemas.microsoft.com/office/drawing/2014/main" id="{00000000-0008-0000-24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3375" y="31975425"/>
          <a:ext cx="360000" cy="360000"/>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0</xdr:col>
      <xdr:colOff>238125</xdr:colOff>
      <xdr:row>1</xdr:row>
      <xdr:rowOff>114301</xdr:rowOff>
    </xdr:from>
    <xdr:to>
      <xdr:col>2</xdr:col>
      <xdr:colOff>722700</xdr:colOff>
      <xdr:row>3</xdr:row>
      <xdr:rowOff>57301</xdr:rowOff>
    </xdr:to>
    <xdr:sp macro="" textlink="">
      <xdr:nvSpPr>
        <xdr:cNvPr id="4" name="Rectangle à coins arrondis 2">
          <a:hlinkClick xmlns:r="http://schemas.openxmlformats.org/officeDocument/2006/relationships" r:id="rId1" tooltip="Back to H&amp;C"/>
          <a:extLst>
            <a:ext uri="{FF2B5EF4-FFF2-40B4-BE49-F238E27FC236}">
              <a16:creationId xmlns:a16="http://schemas.microsoft.com/office/drawing/2014/main" id="{00000000-0008-0000-2500-000004000000}"/>
            </a:ext>
          </a:extLst>
        </xdr:cNvPr>
        <xdr:cNvSpPr>
          <a:spLocks noChangeArrowheads="1"/>
        </xdr:cNvSpPr>
      </xdr:nvSpPr>
      <xdr:spPr bwMode="auto">
        <a:xfrm>
          <a:off x="238125" y="409576"/>
          <a:ext cx="198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390525</xdr:colOff>
      <xdr:row>1</xdr:row>
      <xdr:rowOff>114300</xdr:rowOff>
    </xdr:from>
    <xdr:to>
      <xdr:col>5</xdr:col>
      <xdr:colOff>503625</xdr:colOff>
      <xdr:row>3</xdr:row>
      <xdr:rowOff>57300</xdr:rowOff>
    </xdr:to>
    <xdr:sp macro="" textlink="">
      <xdr:nvSpPr>
        <xdr:cNvPr id="5" name="Rectangle à coins arrondis 4">
          <a:hlinkClick xmlns:r="http://schemas.openxmlformats.org/officeDocument/2006/relationships" r:id="rId2" tooltip="Scorecard"/>
          <a:extLst>
            <a:ext uri="{FF2B5EF4-FFF2-40B4-BE49-F238E27FC236}">
              <a16:creationId xmlns:a16="http://schemas.microsoft.com/office/drawing/2014/main" id="{00000000-0008-0000-2500-000005000000}"/>
            </a:ext>
          </a:extLst>
        </xdr:cNvPr>
        <xdr:cNvSpPr>
          <a:spLocks noChangeArrowheads="1"/>
        </xdr:cNvSpPr>
      </xdr:nvSpPr>
      <xdr:spPr bwMode="auto">
        <a:xfrm>
          <a:off x="2733675" y="409575"/>
          <a:ext cx="198952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8</xdr:col>
      <xdr:colOff>600074</xdr:colOff>
      <xdr:row>5</xdr:row>
      <xdr:rowOff>57150</xdr:rowOff>
    </xdr:from>
    <xdr:to>
      <xdr:col>10</xdr:col>
      <xdr:colOff>535124</xdr:colOff>
      <xdr:row>6</xdr:row>
      <xdr:rowOff>90075</xdr:rowOff>
    </xdr:to>
    <xdr:sp macro="" textlink="">
      <xdr:nvSpPr>
        <xdr:cNvPr id="6" name="Rectangle à coins arrondis 2">
          <a:hlinkClick xmlns:r="http://schemas.openxmlformats.org/officeDocument/2006/relationships" r:id="rId3" tooltip="Prescriptive Path"/>
          <a:extLst>
            <a:ext uri="{FF2B5EF4-FFF2-40B4-BE49-F238E27FC236}">
              <a16:creationId xmlns:a16="http://schemas.microsoft.com/office/drawing/2014/main" id="{00000000-0008-0000-2500-000006000000}"/>
            </a:ext>
          </a:extLst>
        </xdr:cNvPr>
        <xdr:cNvSpPr>
          <a:spLocks noChangeArrowheads="1"/>
        </xdr:cNvSpPr>
      </xdr:nvSpPr>
      <xdr:spPr bwMode="auto">
        <a:xfrm>
          <a:off x="6515099" y="1190625"/>
          <a:ext cx="1440000" cy="299625"/>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11</xdr:col>
      <xdr:colOff>219075</xdr:colOff>
      <xdr:row>5</xdr:row>
      <xdr:rowOff>57150</xdr:rowOff>
    </xdr:from>
    <xdr:to>
      <xdr:col>13</xdr:col>
      <xdr:colOff>497025</xdr:colOff>
      <xdr:row>6</xdr:row>
      <xdr:rowOff>90075</xdr:rowOff>
    </xdr:to>
    <xdr:sp macro="" textlink="">
      <xdr:nvSpPr>
        <xdr:cNvPr id="7" name="Rectangle à coins arrondis 2">
          <a:hlinkClick xmlns:r="http://schemas.openxmlformats.org/officeDocument/2006/relationships" r:id="rId4" tooltip="Performance Path"/>
          <a:extLst>
            <a:ext uri="{FF2B5EF4-FFF2-40B4-BE49-F238E27FC236}">
              <a16:creationId xmlns:a16="http://schemas.microsoft.com/office/drawing/2014/main" id="{00000000-0008-0000-2500-000007000000}"/>
            </a:ext>
          </a:extLst>
        </xdr:cNvPr>
        <xdr:cNvSpPr>
          <a:spLocks noChangeArrowheads="1"/>
        </xdr:cNvSpPr>
      </xdr:nvSpPr>
      <xdr:spPr bwMode="auto">
        <a:xfrm>
          <a:off x="8286750" y="1190625"/>
          <a:ext cx="1440000" cy="299625"/>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8</xdr:col>
      <xdr:colOff>95250</xdr:colOff>
      <xdr:row>5</xdr:row>
      <xdr:rowOff>66675</xdr:rowOff>
    </xdr:from>
    <xdr:to>
      <xdr:col>8</xdr:col>
      <xdr:colOff>491250</xdr:colOff>
      <xdr:row>6</xdr:row>
      <xdr:rowOff>99600</xdr:rowOff>
    </xdr:to>
    <xdr:sp macro="" textlink="">
      <xdr:nvSpPr>
        <xdr:cNvPr id="8" name="Flèche droite 7">
          <a:extLst>
            <a:ext uri="{FF2B5EF4-FFF2-40B4-BE49-F238E27FC236}">
              <a16:creationId xmlns:a16="http://schemas.microsoft.com/office/drawing/2014/main" id="{00000000-0008-0000-2500-000008000000}"/>
            </a:ext>
          </a:extLst>
        </xdr:cNvPr>
        <xdr:cNvSpPr/>
      </xdr:nvSpPr>
      <xdr:spPr>
        <a:xfrm>
          <a:off x="6115050" y="1200150"/>
          <a:ext cx="396000" cy="299625"/>
        </a:xfrm>
        <a:prstGeom prst="rightArrow">
          <a:avLst/>
        </a:prstGeom>
        <a:solidFill>
          <a:srgbClr val="943634"/>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1</xdr:col>
      <xdr:colOff>133355</xdr:colOff>
      <xdr:row>39</xdr:row>
      <xdr:rowOff>57161</xdr:rowOff>
    </xdr:from>
    <xdr:to>
      <xdr:col>4</xdr:col>
      <xdr:colOff>643878</xdr:colOff>
      <xdr:row>52</xdr:row>
      <xdr:rowOff>110502</xdr:rowOff>
    </xdr:to>
    <xdr:pic>
      <xdr:nvPicPr>
        <xdr:cNvPr id="10" name="Picture 9" descr="\\VGBC_NAS\VGBC_Network\VGBC Shared\LOTUS\LOTUS Homes\3. Credits\sidelit daylit zone.png">
          <a:extLst>
            <a:ext uri="{FF2B5EF4-FFF2-40B4-BE49-F238E27FC236}">
              <a16:creationId xmlns:a16="http://schemas.microsoft.com/office/drawing/2014/main" id="{00000000-0008-0000-2500-00000A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705" r="3301" b="3965"/>
        <a:stretch/>
      </xdr:blipFill>
      <xdr:spPr bwMode="auto">
        <a:xfrm>
          <a:off x="381005" y="7515236"/>
          <a:ext cx="3558523" cy="2529841"/>
        </a:xfrm>
        <a:prstGeom prst="rect">
          <a:avLst/>
        </a:prstGeom>
        <a:noFill/>
        <a:ln>
          <a:noFill/>
        </a:ln>
      </xdr:spPr>
    </xdr:pic>
    <xdr:clientData/>
  </xdr:twoCellAnchor>
  <xdr:twoCellAnchor editAs="oneCell">
    <xdr:from>
      <xdr:col>5</xdr:col>
      <xdr:colOff>409575</xdr:colOff>
      <xdr:row>41</xdr:row>
      <xdr:rowOff>133350</xdr:rowOff>
    </xdr:from>
    <xdr:to>
      <xdr:col>11</xdr:col>
      <xdr:colOff>173114</xdr:colOff>
      <xdr:row>61</xdr:row>
      <xdr:rowOff>149772</xdr:rowOff>
    </xdr:to>
    <xdr:pic>
      <xdr:nvPicPr>
        <xdr:cNvPr id="13" name="Picture 12" descr="\\VGBC_NAS\VGBC_Network\VGBC Shared\LOTUS\LOTUS Homes\3. Credits\skylit daylit zone.png">
          <a:extLst>
            <a:ext uri="{FF2B5EF4-FFF2-40B4-BE49-F238E27FC236}">
              <a16:creationId xmlns:a16="http://schemas.microsoft.com/office/drawing/2014/main" id="{00000000-0008-0000-2500-00000D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210" t="5252" r="49541" b="1655"/>
        <a:stretch/>
      </xdr:blipFill>
      <xdr:spPr bwMode="auto">
        <a:xfrm>
          <a:off x="4581525" y="7972425"/>
          <a:ext cx="3487814" cy="426457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12</xdr:col>
      <xdr:colOff>9525</xdr:colOff>
      <xdr:row>41</xdr:row>
      <xdr:rowOff>114300</xdr:rowOff>
    </xdr:from>
    <xdr:to>
      <xdr:col>17</xdr:col>
      <xdr:colOff>76200</xdr:colOff>
      <xdr:row>61</xdr:row>
      <xdr:rowOff>152318</xdr:rowOff>
    </xdr:to>
    <xdr:pic>
      <xdr:nvPicPr>
        <xdr:cNvPr id="16" name="Picture 15" descr="C:\Users\phong.vu\Desktop\skylit daylit zone.png">
          <a:extLst>
            <a:ext uri="{FF2B5EF4-FFF2-40B4-BE49-F238E27FC236}">
              <a16:creationId xmlns:a16="http://schemas.microsoft.com/office/drawing/2014/main" id="{00000000-0008-0000-2500-000010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4175" t="4535" r="-1" b="1900"/>
        <a:stretch/>
      </xdr:blipFill>
      <xdr:spPr bwMode="auto">
        <a:xfrm>
          <a:off x="8429625" y="9210675"/>
          <a:ext cx="3238500" cy="4286168"/>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352425</xdr:colOff>
      <xdr:row>111</xdr:row>
      <xdr:rowOff>114300</xdr:rowOff>
    </xdr:from>
    <xdr:to>
      <xdr:col>16</xdr:col>
      <xdr:colOff>685800</xdr:colOff>
      <xdr:row>113</xdr:row>
      <xdr:rowOff>9675</xdr:rowOff>
    </xdr:to>
    <xdr:sp macro="" textlink="">
      <xdr:nvSpPr>
        <xdr:cNvPr id="17" name="Rectangle à coins arrondis 2">
          <a:hlinkClick xmlns:r="http://schemas.openxmlformats.org/officeDocument/2006/relationships" r:id="rId7" tooltip="Resources"/>
          <a:extLst>
            <a:ext uri="{FF2B5EF4-FFF2-40B4-BE49-F238E27FC236}">
              <a16:creationId xmlns:a16="http://schemas.microsoft.com/office/drawing/2014/main" id="{00000000-0008-0000-2500-000011000000}"/>
            </a:ext>
          </a:extLst>
        </xdr:cNvPr>
        <xdr:cNvSpPr>
          <a:spLocks noChangeArrowheads="1"/>
        </xdr:cNvSpPr>
      </xdr:nvSpPr>
      <xdr:spPr bwMode="auto">
        <a:xfrm>
          <a:off x="7610475" y="22450425"/>
          <a:ext cx="3933825" cy="295425"/>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typical values of the different parameters</a:t>
          </a:r>
        </a:p>
      </xdr:txBody>
    </xdr:sp>
    <xdr:clientData/>
  </xdr:twoCellAnchor>
  <xdr:twoCellAnchor editAs="oneCell">
    <xdr:from>
      <xdr:col>1</xdr:col>
      <xdr:colOff>28575</xdr:colOff>
      <xdr:row>108</xdr:row>
      <xdr:rowOff>76200</xdr:rowOff>
    </xdr:from>
    <xdr:to>
      <xdr:col>1</xdr:col>
      <xdr:colOff>424575</xdr:colOff>
      <xdr:row>110</xdr:row>
      <xdr:rowOff>119775</xdr:rowOff>
    </xdr:to>
    <xdr:pic>
      <xdr:nvPicPr>
        <xdr:cNvPr id="11" name="Picture 10">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 y="21869400"/>
          <a:ext cx="396000" cy="396000"/>
        </a:xfrm>
        <a:prstGeom prst="rect">
          <a:avLst/>
        </a:prstGeom>
      </xdr:spPr>
    </xdr:pic>
    <xdr:clientData/>
  </xdr:twoCellAnchor>
  <xdr:twoCellAnchor editAs="oneCell">
    <xdr:from>
      <xdr:col>1</xdr:col>
      <xdr:colOff>57150</xdr:colOff>
      <xdr:row>101</xdr:row>
      <xdr:rowOff>95250</xdr:rowOff>
    </xdr:from>
    <xdr:to>
      <xdr:col>1</xdr:col>
      <xdr:colOff>453150</xdr:colOff>
      <xdr:row>103</xdr:row>
      <xdr:rowOff>110250</xdr:rowOff>
    </xdr:to>
    <xdr:pic>
      <xdr:nvPicPr>
        <xdr:cNvPr id="12" name="Picture 11">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4800" y="18726150"/>
          <a:ext cx="396000" cy="396000"/>
        </a:xfrm>
        <a:prstGeom prst="rect">
          <a:avLst/>
        </a:prstGeom>
      </xdr:spPr>
    </xdr:pic>
    <xdr:clientData/>
  </xdr:twoCellAnchor>
  <xdr:twoCellAnchor editAs="oneCell">
    <xdr:from>
      <xdr:col>1</xdr:col>
      <xdr:colOff>47625</xdr:colOff>
      <xdr:row>30</xdr:row>
      <xdr:rowOff>123825</xdr:rowOff>
    </xdr:from>
    <xdr:to>
      <xdr:col>1</xdr:col>
      <xdr:colOff>477951</xdr:colOff>
      <xdr:row>32</xdr:row>
      <xdr:rowOff>136725</xdr:rowOff>
    </xdr:to>
    <xdr:pic>
      <xdr:nvPicPr>
        <xdr:cNvPr id="14" name="Picture 13">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7143750"/>
          <a:ext cx="430326" cy="432000"/>
        </a:xfrm>
        <a:prstGeom prst="rect">
          <a:avLst/>
        </a:prstGeom>
      </xdr:spPr>
    </xdr:pic>
    <xdr:clientData/>
  </xdr:twoCellAnchor>
  <xdr:oneCellAnchor>
    <xdr:from>
      <xdr:col>1</xdr:col>
      <xdr:colOff>28575</xdr:colOff>
      <xdr:row>65</xdr:row>
      <xdr:rowOff>104775</xdr:rowOff>
    </xdr:from>
    <xdr:ext cx="360000" cy="360000"/>
    <xdr:pic>
      <xdr:nvPicPr>
        <xdr:cNvPr id="15" name="Picture 14">
          <a:extLst>
            <a:ext uri="{FF2B5EF4-FFF2-40B4-BE49-F238E27FC236}">
              <a16:creationId xmlns:a16="http://schemas.microsoft.com/office/drawing/2014/main" id="{00000000-0008-0000-25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 y="14249400"/>
          <a:ext cx="360000" cy="360000"/>
        </a:xfrm>
        <a:prstGeom prst="rect">
          <a:avLst/>
        </a:prstGeom>
      </xdr:spPr>
    </xdr:pic>
    <xdr:clientData/>
  </xdr:oneCellAnchor>
  <xdr:twoCellAnchor editAs="oneCell">
    <xdr:from>
      <xdr:col>1</xdr:col>
      <xdr:colOff>47625</xdr:colOff>
      <xdr:row>103</xdr:row>
      <xdr:rowOff>209550</xdr:rowOff>
    </xdr:from>
    <xdr:to>
      <xdr:col>1</xdr:col>
      <xdr:colOff>477951</xdr:colOff>
      <xdr:row>106</xdr:row>
      <xdr:rowOff>22425</xdr:rowOff>
    </xdr:to>
    <xdr:pic>
      <xdr:nvPicPr>
        <xdr:cNvPr id="19" name="Picture 18">
          <a:extLst>
            <a:ext uri="{FF2B5EF4-FFF2-40B4-BE49-F238E27FC236}">
              <a16:creationId xmlns:a16="http://schemas.microsoft.com/office/drawing/2014/main" id="{00000000-0008-0000-25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21031200"/>
          <a:ext cx="430326" cy="432000"/>
        </a:xfrm>
        <a:prstGeom prst="rect">
          <a:avLst/>
        </a:prstGeom>
      </xdr:spPr>
    </xdr:pic>
    <xdr:clientData/>
  </xdr:twoCellAnchor>
  <xdr:twoCellAnchor editAs="oneCell">
    <xdr:from>
      <xdr:col>1</xdr:col>
      <xdr:colOff>57150</xdr:colOff>
      <xdr:row>21</xdr:row>
      <xdr:rowOff>0</xdr:rowOff>
    </xdr:from>
    <xdr:to>
      <xdr:col>1</xdr:col>
      <xdr:colOff>525150</xdr:colOff>
      <xdr:row>23</xdr:row>
      <xdr:rowOff>87000</xdr:rowOff>
    </xdr:to>
    <xdr:pic>
      <xdr:nvPicPr>
        <xdr:cNvPr id="21" name="Picture 20">
          <a:extLst>
            <a:ext uri="{FF2B5EF4-FFF2-40B4-BE49-F238E27FC236}">
              <a16:creationId xmlns:a16="http://schemas.microsoft.com/office/drawing/2014/main" id="{00000000-0008-0000-25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0" y="5248275"/>
          <a:ext cx="468000" cy="468000"/>
        </a:xfrm>
        <a:prstGeom prst="rect">
          <a:avLst/>
        </a:prstGeom>
      </xdr:spPr>
    </xdr:pic>
    <xdr:clientData/>
  </xdr:twoCellAnchor>
  <xdr:oneCellAnchor>
    <xdr:from>
      <xdr:col>1</xdr:col>
      <xdr:colOff>66675</xdr:colOff>
      <xdr:row>28</xdr:row>
      <xdr:rowOff>76200</xdr:rowOff>
    </xdr:from>
    <xdr:ext cx="396000" cy="396000"/>
    <xdr:pic>
      <xdr:nvPicPr>
        <xdr:cNvPr id="22" name="Picture 21">
          <a:extLst>
            <a:ext uri="{FF2B5EF4-FFF2-40B4-BE49-F238E27FC236}">
              <a16:creationId xmlns:a16="http://schemas.microsoft.com/office/drawing/2014/main" id="{00000000-0008-0000-2500-00001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14325" y="6715125"/>
          <a:ext cx="396000" cy="396000"/>
        </a:xfrm>
        <a:prstGeom prst="rect">
          <a:avLst/>
        </a:prstGeom>
      </xdr:spPr>
    </xdr:pic>
    <xdr:clientData/>
  </xdr:oneCellAnchor>
  <xdr:twoCellAnchor editAs="oneCell">
    <xdr:from>
      <xdr:col>1</xdr:col>
      <xdr:colOff>28575</xdr:colOff>
      <xdr:row>67</xdr:row>
      <xdr:rowOff>114300</xdr:rowOff>
    </xdr:from>
    <xdr:to>
      <xdr:col>1</xdr:col>
      <xdr:colOff>388575</xdr:colOff>
      <xdr:row>69</xdr:row>
      <xdr:rowOff>102825</xdr:rowOff>
    </xdr:to>
    <xdr:pic>
      <xdr:nvPicPr>
        <xdr:cNvPr id="18" name="Picture 17">
          <a:extLst>
            <a:ext uri="{FF2B5EF4-FFF2-40B4-BE49-F238E27FC236}">
              <a16:creationId xmlns:a16="http://schemas.microsoft.com/office/drawing/2014/main" id="{00000000-0008-0000-2500-00001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76225" y="14639925"/>
          <a:ext cx="360000" cy="360000"/>
        </a:xfrm>
        <a:prstGeom prst="rect">
          <a:avLst/>
        </a:prstGeom>
      </xdr:spPr>
    </xdr:pic>
    <xdr:clientData/>
  </xdr:twoCellAnchor>
  <xdr:twoCellAnchor>
    <xdr:from>
      <xdr:col>12</xdr:col>
      <xdr:colOff>276225</xdr:colOff>
      <xdr:row>1</xdr:row>
      <xdr:rowOff>95250</xdr:rowOff>
    </xdr:from>
    <xdr:to>
      <xdr:col>13</xdr:col>
      <xdr:colOff>142875</xdr:colOff>
      <xdr:row>3</xdr:row>
      <xdr:rowOff>66675</xdr:rowOff>
    </xdr:to>
    <xdr:sp macro="" textlink="">
      <xdr:nvSpPr>
        <xdr:cNvPr id="20" name="Up Arrow 19">
          <a:hlinkClick xmlns:r="http://schemas.openxmlformats.org/officeDocument/2006/relationships" r:id="rId13" tooltip="Back to top"/>
          <a:extLst>
            <a:ext uri="{FF2B5EF4-FFF2-40B4-BE49-F238E27FC236}">
              <a16:creationId xmlns:a16="http://schemas.microsoft.com/office/drawing/2014/main" id="{00000000-0008-0000-2500-000014000000}"/>
            </a:ext>
          </a:extLst>
        </xdr:cNvPr>
        <xdr:cNvSpPr/>
      </xdr:nvSpPr>
      <xdr:spPr>
        <a:xfrm>
          <a:off x="8801100" y="390525"/>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11</xdr:col>
      <xdr:colOff>19050</xdr:colOff>
      <xdr:row>12</xdr:row>
      <xdr:rowOff>23812</xdr:rowOff>
    </xdr:from>
    <xdr:ext cx="65" cy="172227"/>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7058025" y="264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9</xdr:col>
      <xdr:colOff>142874</xdr:colOff>
      <xdr:row>4</xdr:row>
      <xdr:rowOff>257174</xdr:rowOff>
    </xdr:from>
    <xdr:to>
      <xdr:col>11</xdr:col>
      <xdr:colOff>552450</xdr:colOff>
      <xdr:row>4</xdr:row>
      <xdr:rowOff>857250</xdr:rowOff>
    </xdr:to>
    <xdr:sp macro="" textlink="">
      <xdr:nvSpPr>
        <xdr:cNvPr id="4" name="Rectangle à coins arrondis 2">
          <a:hlinkClick xmlns:r="http://schemas.openxmlformats.org/officeDocument/2006/relationships" r:id="rId1" tooltip="Feedback "/>
          <a:extLst>
            <a:ext uri="{FF2B5EF4-FFF2-40B4-BE49-F238E27FC236}">
              <a16:creationId xmlns:a16="http://schemas.microsoft.com/office/drawing/2014/main" id="{00000000-0008-0000-0300-000004000000}"/>
            </a:ext>
          </a:extLst>
        </xdr:cNvPr>
        <xdr:cNvSpPr>
          <a:spLocks noChangeArrowheads="1"/>
        </xdr:cNvSpPr>
      </xdr:nvSpPr>
      <xdr:spPr bwMode="auto">
        <a:xfrm>
          <a:off x="7019924" y="1381124"/>
          <a:ext cx="1838326" cy="1"/>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rgbClr val="943634"/>
              </a:solidFill>
              <a:latin typeface="Arial" panose="020B0604020202020204" pitchFamily="34" charset="0"/>
              <a:cs typeface="Arial" panose="020B0604020202020204" pitchFamily="34" charset="0"/>
            </a:rPr>
            <a:t>Click here to give your feedback </a:t>
          </a:r>
        </a:p>
      </xdr:txBody>
    </xdr:sp>
    <xdr:clientData/>
  </xdr:twoCellAnchor>
  <xdr:twoCellAnchor>
    <xdr:from>
      <xdr:col>11</xdr:col>
      <xdr:colOff>247647</xdr:colOff>
      <xdr:row>1</xdr:row>
      <xdr:rowOff>47623</xdr:rowOff>
    </xdr:from>
    <xdr:to>
      <xdr:col>13</xdr:col>
      <xdr:colOff>430347</xdr:colOff>
      <xdr:row>2</xdr:row>
      <xdr:rowOff>133498</xdr:rowOff>
    </xdr:to>
    <xdr:sp macro="" textlink="">
      <xdr:nvSpPr>
        <xdr:cNvPr id="7" name="Rectangle à coins arrondis 2">
          <a:hlinkClick xmlns:r="http://schemas.openxmlformats.org/officeDocument/2006/relationships" r:id="rId2" tooltip="Recommendations"/>
          <a:extLst>
            <a:ext uri="{FF2B5EF4-FFF2-40B4-BE49-F238E27FC236}">
              <a16:creationId xmlns:a16="http://schemas.microsoft.com/office/drawing/2014/main" id="{00000000-0008-0000-0300-000007000000}"/>
            </a:ext>
          </a:extLst>
        </xdr:cNvPr>
        <xdr:cNvSpPr>
          <a:spLocks noChangeArrowheads="1"/>
        </xdr:cNvSpPr>
      </xdr:nvSpPr>
      <xdr:spPr bwMode="auto">
        <a:xfrm>
          <a:off x="8362947" y="428623"/>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76923C"/>
              </a:solidFill>
              <a:effectLst/>
              <a:latin typeface="Arial" panose="020B0604020202020204" pitchFamily="34" charset="0"/>
              <a:ea typeface="+mn-ea"/>
              <a:cs typeface="Arial" panose="020B0604020202020204" pitchFamily="34" charset="0"/>
            </a:rPr>
            <a:t>Recommendations</a:t>
          </a:r>
          <a:endParaRPr lang="fr-FR" sz="1200" b="0" i="0" u="none" strike="noStrike" baseline="0">
            <a:solidFill>
              <a:srgbClr val="76923C"/>
            </a:solidFill>
            <a:latin typeface="Arial" pitchFamily="34" charset="0"/>
            <a:cs typeface="Arial" pitchFamily="34" charset="0"/>
          </a:endParaRPr>
        </a:p>
      </xdr:txBody>
    </xdr:sp>
    <xdr:clientData/>
  </xdr:twoCellAnchor>
  <xdr:twoCellAnchor>
    <xdr:from>
      <xdr:col>13</xdr:col>
      <xdr:colOff>514725</xdr:colOff>
      <xdr:row>1</xdr:row>
      <xdr:rowOff>47624</xdr:rowOff>
    </xdr:from>
    <xdr:to>
      <xdr:col>16</xdr:col>
      <xdr:colOff>68775</xdr:colOff>
      <xdr:row>2</xdr:row>
      <xdr:rowOff>133499</xdr:rowOff>
    </xdr:to>
    <xdr:sp macro="" textlink="">
      <xdr:nvSpPr>
        <xdr:cNvPr id="8" name="Rectangle à coins arrondis 2">
          <a:hlinkClick xmlns:r="http://schemas.openxmlformats.org/officeDocument/2006/relationships" r:id="rId3" tooltip="Scorecard"/>
          <a:extLst>
            <a:ext uri="{FF2B5EF4-FFF2-40B4-BE49-F238E27FC236}">
              <a16:creationId xmlns:a16="http://schemas.microsoft.com/office/drawing/2014/main" id="{00000000-0008-0000-0300-000008000000}"/>
            </a:ext>
          </a:extLst>
        </xdr:cNvPr>
        <xdr:cNvSpPr>
          <a:spLocks noChangeArrowheads="1"/>
        </xdr:cNvSpPr>
      </xdr:nvSpPr>
      <xdr:spPr bwMode="auto">
        <a:xfrm>
          <a:off x="9887325" y="428624"/>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Scorecard</a:t>
          </a:r>
        </a:p>
      </xdr:txBody>
    </xdr:sp>
    <xdr:clientData/>
  </xdr:twoCellAnchor>
  <xdr:twoCellAnchor>
    <xdr:from>
      <xdr:col>9</xdr:col>
      <xdr:colOff>295274</xdr:colOff>
      <xdr:row>2</xdr:row>
      <xdr:rowOff>228599</xdr:rowOff>
    </xdr:from>
    <xdr:to>
      <xdr:col>11</xdr:col>
      <xdr:colOff>173174</xdr:colOff>
      <xdr:row>4</xdr:row>
      <xdr:rowOff>76349</xdr:rowOff>
    </xdr:to>
    <xdr:sp macro="" textlink="">
      <xdr:nvSpPr>
        <xdr:cNvPr id="10" name="Rectangle à coins arrondis 2">
          <a:hlinkClick xmlns:r="http://schemas.openxmlformats.org/officeDocument/2006/relationships" r:id="rId4" tooltip="Project Information"/>
          <a:extLst>
            <a:ext uri="{FF2B5EF4-FFF2-40B4-BE49-F238E27FC236}">
              <a16:creationId xmlns:a16="http://schemas.microsoft.com/office/drawing/2014/main" id="{00000000-0008-0000-0300-00000A000000}"/>
            </a:ext>
          </a:extLst>
        </xdr:cNvPr>
        <xdr:cNvSpPr>
          <a:spLocks noChangeArrowheads="1"/>
        </xdr:cNvSpPr>
      </xdr:nvSpPr>
      <xdr:spPr bwMode="auto">
        <a:xfrm>
          <a:off x="6848474" y="847724"/>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Project Information</a:t>
          </a:r>
        </a:p>
      </xdr:txBody>
    </xdr:sp>
    <xdr:clientData/>
  </xdr:twoCellAnchor>
  <xdr:twoCellAnchor>
    <xdr:from>
      <xdr:col>11</xdr:col>
      <xdr:colOff>257549</xdr:colOff>
      <xdr:row>2</xdr:row>
      <xdr:rowOff>228599</xdr:rowOff>
    </xdr:from>
    <xdr:to>
      <xdr:col>13</xdr:col>
      <xdr:colOff>440249</xdr:colOff>
      <xdr:row>4</xdr:row>
      <xdr:rowOff>76349</xdr:rowOff>
    </xdr:to>
    <xdr:sp macro="" textlink="">
      <xdr:nvSpPr>
        <xdr:cNvPr id="11" name="Rectangle à coins arrondis 2">
          <a:hlinkClick xmlns:r="http://schemas.openxmlformats.org/officeDocument/2006/relationships" r:id="rId5" tooltip="Graphical Results"/>
          <a:extLst>
            <a:ext uri="{FF2B5EF4-FFF2-40B4-BE49-F238E27FC236}">
              <a16:creationId xmlns:a16="http://schemas.microsoft.com/office/drawing/2014/main" id="{00000000-0008-0000-0300-00000B000000}"/>
            </a:ext>
          </a:extLst>
        </xdr:cNvPr>
        <xdr:cNvSpPr>
          <a:spLocks noChangeArrowheads="1"/>
        </xdr:cNvSpPr>
      </xdr:nvSpPr>
      <xdr:spPr bwMode="auto">
        <a:xfrm>
          <a:off x="8372849" y="847724"/>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Graphical Results </a:t>
          </a:r>
        </a:p>
      </xdr:txBody>
    </xdr:sp>
    <xdr:clientData/>
  </xdr:twoCellAnchor>
  <xdr:twoCellAnchor>
    <xdr:from>
      <xdr:col>9</xdr:col>
      <xdr:colOff>295274</xdr:colOff>
      <xdr:row>1</xdr:row>
      <xdr:rowOff>47625</xdr:rowOff>
    </xdr:from>
    <xdr:to>
      <xdr:col>11</xdr:col>
      <xdr:colOff>173174</xdr:colOff>
      <xdr:row>2</xdr:row>
      <xdr:rowOff>133500</xdr:rowOff>
    </xdr:to>
    <xdr:sp macro="" textlink="">
      <xdr:nvSpPr>
        <xdr:cNvPr id="12" name="Rectangle à coins arrondis 2">
          <a:hlinkClick xmlns:r="http://schemas.openxmlformats.org/officeDocument/2006/relationships" r:id="rId6" tooltip="Introduction"/>
          <a:extLst>
            <a:ext uri="{FF2B5EF4-FFF2-40B4-BE49-F238E27FC236}">
              <a16:creationId xmlns:a16="http://schemas.microsoft.com/office/drawing/2014/main" id="{00000000-0008-0000-0300-00000C000000}"/>
            </a:ext>
          </a:extLst>
        </xdr:cNvPr>
        <xdr:cNvSpPr>
          <a:spLocks noChangeArrowheads="1"/>
        </xdr:cNvSpPr>
      </xdr:nvSpPr>
      <xdr:spPr bwMode="auto">
        <a:xfrm>
          <a:off x="6848474" y="428625"/>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Introduction</a:t>
          </a:r>
        </a:p>
      </xdr:txBody>
    </xdr:sp>
    <xdr:clientData/>
  </xdr:twoCellAnchor>
  <xdr:twoCellAnchor>
    <xdr:from>
      <xdr:col>1</xdr:col>
      <xdr:colOff>0</xdr:colOff>
      <xdr:row>26</xdr:row>
      <xdr:rowOff>190499</xdr:rowOff>
    </xdr:from>
    <xdr:to>
      <xdr:col>14</xdr:col>
      <xdr:colOff>390528</xdr:colOff>
      <xdr:row>67</xdr:row>
      <xdr:rowOff>57150</xdr:rowOff>
    </xdr:to>
    <xdr:graphicFrame macro="">
      <xdr:nvGraphicFramePr>
        <xdr:cNvPr id="19" name="Diagram 18">
          <a:extLst>
            <a:ext uri="{FF2B5EF4-FFF2-40B4-BE49-F238E27FC236}">
              <a16:creationId xmlns:a16="http://schemas.microsoft.com/office/drawing/2014/main" id="{00000000-0008-0000-0300-00001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clientData/>
  </xdr:twoCellAnchor>
  <xdr:twoCellAnchor>
    <xdr:from>
      <xdr:col>2</xdr:col>
      <xdr:colOff>552450</xdr:colOff>
      <xdr:row>59</xdr:row>
      <xdr:rowOff>161925</xdr:rowOff>
    </xdr:from>
    <xdr:to>
      <xdr:col>6</xdr:col>
      <xdr:colOff>213975</xdr:colOff>
      <xdr:row>61</xdr:row>
      <xdr:rowOff>104925</xdr:rowOff>
    </xdr:to>
    <xdr:sp macro="" textlink="">
      <xdr:nvSpPr>
        <xdr:cNvPr id="20" name="Rectangle à coins arrondis 2">
          <a:hlinkClick xmlns:r="http://schemas.openxmlformats.org/officeDocument/2006/relationships" r:id="rId12" tooltip="Pre-assessment checklist"/>
          <a:extLst>
            <a:ext uri="{FF2B5EF4-FFF2-40B4-BE49-F238E27FC236}">
              <a16:creationId xmlns:a16="http://schemas.microsoft.com/office/drawing/2014/main" id="{00000000-0008-0000-0300-000014000000}"/>
            </a:ext>
          </a:extLst>
        </xdr:cNvPr>
        <xdr:cNvSpPr>
          <a:spLocks noChangeArrowheads="1"/>
        </xdr:cNvSpPr>
      </xdr:nvSpPr>
      <xdr:spPr bwMode="auto">
        <a:xfrm>
          <a:off x="1638300" y="12125325"/>
          <a:ext cx="2785725"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1">
              <a:solidFill>
                <a:srgbClr val="76923C"/>
              </a:solidFill>
              <a:effectLst/>
              <a:latin typeface="+mn-lt"/>
              <a:ea typeface="+mn-ea"/>
              <a:cs typeface="+mn-cs"/>
            </a:rPr>
            <a:t>Pre-assessment checklist</a:t>
          </a:r>
          <a:endParaRPr lang="en-US" sz="1400" b="1">
            <a:solidFill>
              <a:srgbClr val="76923C"/>
            </a:solidFill>
            <a:effectLst/>
          </a:endParaRPr>
        </a:p>
      </xdr:txBody>
    </xdr:sp>
    <xdr:clientData/>
  </xdr:twoCellAnchor>
  <xdr:twoCellAnchor>
    <xdr:from>
      <xdr:col>7</xdr:col>
      <xdr:colOff>114300</xdr:colOff>
      <xdr:row>59</xdr:row>
      <xdr:rowOff>171450</xdr:rowOff>
    </xdr:from>
    <xdr:to>
      <xdr:col>10</xdr:col>
      <xdr:colOff>213975</xdr:colOff>
      <xdr:row>61</xdr:row>
      <xdr:rowOff>114450</xdr:rowOff>
    </xdr:to>
    <xdr:sp macro="" textlink="">
      <xdr:nvSpPr>
        <xdr:cNvPr id="21" name="Rectangle à coins arrondis 2">
          <a:hlinkClick xmlns:r="http://schemas.openxmlformats.org/officeDocument/2006/relationships" r:id="rId13" tooltip="Certification stage checklist"/>
          <a:extLst>
            <a:ext uri="{FF2B5EF4-FFF2-40B4-BE49-F238E27FC236}">
              <a16:creationId xmlns:a16="http://schemas.microsoft.com/office/drawing/2014/main" id="{00000000-0008-0000-0300-000015000000}"/>
            </a:ext>
          </a:extLst>
        </xdr:cNvPr>
        <xdr:cNvSpPr>
          <a:spLocks noChangeArrowheads="1"/>
        </xdr:cNvSpPr>
      </xdr:nvSpPr>
      <xdr:spPr bwMode="auto">
        <a:xfrm>
          <a:off x="5105400" y="12134850"/>
          <a:ext cx="2442825"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marL="0" marR="0" indent="0" algn="ctr" defTabSz="914400" rtl="0" eaLnBrk="1" fontAlgn="auto" latinLnBrk="0" hangingPunct="1">
            <a:lnSpc>
              <a:spcPct val="100000"/>
            </a:lnSpc>
            <a:spcBef>
              <a:spcPts val="0"/>
            </a:spcBef>
            <a:spcAft>
              <a:spcPts val="0"/>
            </a:spcAft>
            <a:buClrTx/>
            <a:buSzTx/>
            <a:buFont typeface="Arial" panose="020B0604020202020204" pitchFamily="34" charset="0"/>
            <a:buNone/>
            <a:tabLst/>
            <a:defRPr sz="1000"/>
          </a:pPr>
          <a:r>
            <a:rPr lang="en-US" sz="1400" b="1">
              <a:solidFill>
                <a:srgbClr val="76923C"/>
              </a:solidFill>
              <a:effectLst/>
              <a:latin typeface="+mn-lt"/>
              <a:ea typeface="+mn-ea"/>
              <a:cs typeface="+mn-cs"/>
            </a:rPr>
            <a:t>Certification stage checklist</a:t>
          </a:r>
          <a:endParaRPr lang="en-US" sz="1400" b="1">
            <a:solidFill>
              <a:srgbClr val="76923C"/>
            </a:solidFill>
            <a:effectLst/>
          </a:endParaRPr>
        </a:p>
      </xdr:txBody>
    </xdr:sp>
    <xdr:clientData/>
  </xdr:twoCellAnchor>
  <xdr:twoCellAnchor>
    <xdr:from>
      <xdr:col>13</xdr:col>
      <xdr:colOff>522150</xdr:colOff>
      <xdr:row>2</xdr:row>
      <xdr:rowOff>228600</xdr:rowOff>
    </xdr:from>
    <xdr:to>
      <xdr:col>16</xdr:col>
      <xdr:colOff>76200</xdr:colOff>
      <xdr:row>4</xdr:row>
      <xdr:rowOff>76350</xdr:rowOff>
    </xdr:to>
    <xdr:sp macro="" textlink="">
      <xdr:nvSpPr>
        <xdr:cNvPr id="17" name="Rectangle à coins arrondis 2">
          <a:hlinkClick xmlns:r="http://schemas.openxmlformats.org/officeDocument/2006/relationships" r:id="rId14" tooltip="Glossary"/>
          <a:extLst>
            <a:ext uri="{FF2B5EF4-FFF2-40B4-BE49-F238E27FC236}">
              <a16:creationId xmlns:a16="http://schemas.microsoft.com/office/drawing/2014/main" id="{00000000-0008-0000-0300-000011000000}"/>
            </a:ext>
          </a:extLst>
        </xdr:cNvPr>
        <xdr:cNvSpPr>
          <a:spLocks noChangeArrowheads="1"/>
        </xdr:cNvSpPr>
      </xdr:nvSpPr>
      <xdr:spPr bwMode="auto">
        <a:xfrm>
          <a:off x="9894750" y="847725"/>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Glossary</a:t>
          </a:r>
        </a:p>
      </xdr:txBody>
    </xdr:sp>
    <xdr:clientData/>
  </xdr:twoCellAnchor>
  <xdr:twoCellAnchor editAs="oneCell">
    <xdr:from>
      <xdr:col>1</xdr:col>
      <xdr:colOff>523875</xdr:colOff>
      <xdr:row>24</xdr:row>
      <xdr:rowOff>28575</xdr:rowOff>
    </xdr:from>
    <xdr:to>
      <xdr:col>2</xdr:col>
      <xdr:colOff>210825</xdr:colOff>
      <xdr:row>24</xdr:row>
      <xdr:rowOff>496575</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28675" y="4981575"/>
          <a:ext cx="468000" cy="468000"/>
        </a:xfrm>
        <a:prstGeom prst="rect">
          <a:avLst/>
        </a:prstGeom>
      </xdr:spPr>
    </xdr:pic>
    <xdr:clientData/>
  </xdr:twoCellAnchor>
  <xdr:twoCellAnchor editAs="oneCell">
    <xdr:from>
      <xdr:col>5</xdr:col>
      <xdr:colOff>504825</xdr:colOff>
      <xdr:row>24</xdr:row>
      <xdr:rowOff>28575</xdr:rowOff>
    </xdr:from>
    <xdr:to>
      <xdr:col>6</xdr:col>
      <xdr:colOff>209775</xdr:colOff>
      <xdr:row>24</xdr:row>
      <xdr:rowOff>514575</xdr:rowOff>
    </xdr:to>
    <xdr:pic>
      <xdr:nvPicPr>
        <xdr:cNvPr id="23" name="Pictur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933825" y="4981575"/>
          <a:ext cx="486000" cy="486000"/>
        </a:xfrm>
        <a:prstGeom prst="rect">
          <a:avLst/>
        </a:prstGeom>
      </xdr:spPr>
    </xdr:pic>
    <xdr:clientData/>
  </xdr:twoCellAnchor>
  <xdr:twoCellAnchor editAs="oneCell">
    <xdr:from>
      <xdr:col>7</xdr:col>
      <xdr:colOff>533398</xdr:colOff>
      <xdr:row>24</xdr:row>
      <xdr:rowOff>9525</xdr:rowOff>
    </xdr:from>
    <xdr:to>
      <xdr:col>8</xdr:col>
      <xdr:colOff>254397</xdr:colOff>
      <xdr:row>24</xdr:row>
      <xdr:rowOff>513525</xdr:rowOff>
    </xdr:to>
    <xdr:pic>
      <xdr:nvPicPr>
        <xdr:cNvPr id="25" name="Pictur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24498" y="4962525"/>
          <a:ext cx="502049" cy="504000"/>
        </a:xfrm>
        <a:prstGeom prst="rect">
          <a:avLst/>
        </a:prstGeom>
      </xdr:spPr>
    </xdr:pic>
    <xdr:clientData/>
  </xdr:twoCellAnchor>
  <xdr:oneCellAnchor>
    <xdr:from>
      <xdr:col>3</xdr:col>
      <xdr:colOff>561975</xdr:colOff>
      <xdr:row>24</xdr:row>
      <xdr:rowOff>28575</xdr:rowOff>
    </xdr:from>
    <xdr:ext cx="468000" cy="468000"/>
    <xdr:pic>
      <xdr:nvPicPr>
        <xdr:cNvPr id="29" name="Picture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428875" y="4981575"/>
          <a:ext cx="468000" cy="468000"/>
        </a:xfrm>
        <a:prstGeom prst="rect">
          <a:avLst/>
        </a:prstGeom>
      </xdr:spPr>
    </xdr:pic>
    <xdr:clientData/>
  </xdr:oneCellAnchor>
  <xdr:twoCellAnchor editAs="oneCell">
    <xdr:from>
      <xdr:col>9</xdr:col>
      <xdr:colOff>561975</xdr:colOff>
      <xdr:row>24</xdr:row>
      <xdr:rowOff>19050</xdr:rowOff>
    </xdr:from>
    <xdr:to>
      <xdr:col>10</xdr:col>
      <xdr:colOff>308328</xdr:colOff>
      <xdr:row>24</xdr:row>
      <xdr:rowOff>523050</xdr:rowOff>
    </xdr:to>
    <xdr:pic>
      <xdr:nvPicPr>
        <xdr:cNvPr id="30" name="Picture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115175" y="4972050"/>
          <a:ext cx="527403" cy="504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781050</xdr:colOff>
      <xdr:row>1</xdr:row>
      <xdr:rowOff>123825</xdr:rowOff>
    </xdr:from>
    <xdr:to>
      <xdr:col>8</xdr:col>
      <xdr:colOff>47625</xdr:colOff>
      <xdr:row>3</xdr:row>
      <xdr:rowOff>95250</xdr:rowOff>
    </xdr:to>
    <xdr:sp macro="" textlink="">
      <xdr:nvSpPr>
        <xdr:cNvPr id="23" name="Up Arrow 22">
          <a:hlinkClick xmlns:r="http://schemas.openxmlformats.org/officeDocument/2006/relationships" r:id="rId1" tooltip="Back to top"/>
          <a:extLst>
            <a:ext uri="{FF2B5EF4-FFF2-40B4-BE49-F238E27FC236}">
              <a16:creationId xmlns:a16="http://schemas.microsoft.com/office/drawing/2014/main" id="{00000000-0008-0000-2600-000017000000}"/>
            </a:ext>
          </a:extLst>
        </xdr:cNvPr>
        <xdr:cNvSpPr/>
      </xdr:nvSpPr>
      <xdr:spPr>
        <a:xfrm>
          <a:off x="8743950" y="41910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371475</xdr:colOff>
      <xdr:row>1</xdr:row>
      <xdr:rowOff>123826</xdr:rowOff>
    </xdr:from>
    <xdr:to>
      <xdr:col>2</xdr:col>
      <xdr:colOff>902700</xdr:colOff>
      <xdr:row>3</xdr:row>
      <xdr:rowOff>66826</xdr:rowOff>
    </xdr:to>
    <xdr:sp macro="" textlink="">
      <xdr:nvSpPr>
        <xdr:cNvPr id="2" name="Rectangle à coins arrondis 2">
          <a:hlinkClick xmlns:r="http://schemas.openxmlformats.org/officeDocument/2006/relationships" r:id="rId2" tooltip="Back to H&amp;C"/>
          <a:extLst>
            <a:ext uri="{FF2B5EF4-FFF2-40B4-BE49-F238E27FC236}">
              <a16:creationId xmlns:a16="http://schemas.microsoft.com/office/drawing/2014/main" id="{00000000-0008-0000-2600-000002000000}"/>
            </a:ext>
          </a:extLst>
        </xdr:cNvPr>
        <xdr:cNvSpPr>
          <a:spLocks noChangeArrowheads="1"/>
        </xdr:cNvSpPr>
      </xdr:nvSpPr>
      <xdr:spPr bwMode="auto">
        <a:xfrm>
          <a:off x="371475" y="419101"/>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1238249</xdr:colOff>
      <xdr:row>1</xdr:row>
      <xdr:rowOff>114300</xdr:rowOff>
    </xdr:from>
    <xdr:to>
      <xdr:col>4</xdr:col>
      <xdr:colOff>455999</xdr:colOff>
      <xdr:row>3</xdr:row>
      <xdr:rowOff>57300</xdr:rowOff>
    </xdr:to>
    <xdr:sp macro="" textlink="">
      <xdr:nvSpPr>
        <xdr:cNvPr id="3" name="Rectangle à coins arrondis 2">
          <a:hlinkClick xmlns:r="http://schemas.openxmlformats.org/officeDocument/2006/relationships" r:id="rId3" tooltip="Scorecard"/>
          <a:extLst>
            <a:ext uri="{FF2B5EF4-FFF2-40B4-BE49-F238E27FC236}">
              <a16:creationId xmlns:a16="http://schemas.microsoft.com/office/drawing/2014/main" id="{00000000-0008-0000-2600-000003000000}"/>
            </a:ext>
          </a:extLst>
        </xdr:cNvPr>
        <xdr:cNvSpPr>
          <a:spLocks noChangeArrowheads="1"/>
        </xdr:cNvSpPr>
      </xdr:nvSpPr>
      <xdr:spPr bwMode="auto">
        <a:xfrm>
          <a:off x="2867024" y="4095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28575</xdr:colOff>
      <xdr:row>22</xdr:row>
      <xdr:rowOff>38101</xdr:rowOff>
    </xdr:from>
    <xdr:to>
      <xdr:col>1</xdr:col>
      <xdr:colOff>532575</xdr:colOff>
      <xdr:row>24</xdr:row>
      <xdr:rowOff>144012</xdr:rowOff>
    </xdr:to>
    <xdr:pic>
      <xdr:nvPicPr>
        <xdr:cNvPr id="7" name="Picture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5" y="6076951"/>
          <a:ext cx="504000" cy="505961"/>
        </a:xfrm>
        <a:prstGeom prst="rect">
          <a:avLst/>
        </a:prstGeom>
      </xdr:spPr>
    </xdr:pic>
    <xdr:clientData/>
  </xdr:twoCellAnchor>
  <xdr:oneCellAnchor>
    <xdr:from>
      <xdr:col>1</xdr:col>
      <xdr:colOff>19050</xdr:colOff>
      <xdr:row>14</xdr:row>
      <xdr:rowOff>104775</xdr:rowOff>
    </xdr:from>
    <xdr:ext cx="396000" cy="396000"/>
    <xdr:pic>
      <xdr:nvPicPr>
        <xdr:cNvPr id="8" name="Picture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0050" y="4619625"/>
          <a:ext cx="396000" cy="396000"/>
        </a:xfrm>
        <a:prstGeom prst="rect">
          <a:avLst/>
        </a:prstGeom>
      </xdr:spPr>
    </xdr:pic>
    <xdr:clientData/>
  </xdr:oneCellAnchor>
  <xdr:twoCellAnchor editAs="oneCell">
    <xdr:from>
      <xdr:col>1</xdr:col>
      <xdr:colOff>47625</xdr:colOff>
      <xdr:row>17</xdr:row>
      <xdr:rowOff>142875</xdr:rowOff>
    </xdr:from>
    <xdr:to>
      <xdr:col>1</xdr:col>
      <xdr:colOff>551625</xdr:colOff>
      <xdr:row>20</xdr:row>
      <xdr:rowOff>75375</xdr:rowOff>
    </xdr:to>
    <xdr:pic>
      <xdr:nvPicPr>
        <xdr:cNvPr id="9" name="Picture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8625" y="5229225"/>
          <a:ext cx="504000" cy="504000"/>
        </a:xfrm>
        <a:prstGeom prst="rect">
          <a:avLst/>
        </a:prstGeom>
      </xdr:spPr>
    </xdr:pic>
    <xdr:clientData/>
  </xdr:twoCellAnchor>
  <xdr:oneCellAnchor>
    <xdr:from>
      <xdr:col>1</xdr:col>
      <xdr:colOff>28575</xdr:colOff>
      <xdr:row>31</xdr:row>
      <xdr:rowOff>123825</xdr:rowOff>
    </xdr:from>
    <xdr:ext cx="360000" cy="360000"/>
    <xdr:pic>
      <xdr:nvPicPr>
        <xdr:cNvPr id="10" name="Picture 9">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9575" y="8001000"/>
          <a:ext cx="360000" cy="360000"/>
        </a:xfrm>
        <a:prstGeom prst="rect">
          <a:avLst/>
        </a:prstGeom>
      </xdr:spPr>
    </xdr:pic>
    <xdr:clientData/>
  </xdr:oneCellAnchor>
  <xdr:oneCellAnchor>
    <xdr:from>
      <xdr:col>1</xdr:col>
      <xdr:colOff>66675</xdr:colOff>
      <xdr:row>26</xdr:row>
      <xdr:rowOff>104775</xdr:rowOff>
    </xdr:from>
    <xdr:ext cx="468000" cy="468000"/>
    <xdr:pic>
      <xdr:nvPicPr>
        <xdr:cNvPr id="15" name="Picture 14">
          <a:extLst>
            <a:ext uri="{FF2B5EF4-FFF2-40B4-BE49-F238E27FC236}">
              <a16:creationId xmlns:a16="http://schemas.microsoft.com/office/drawing/2014/main" id="{00000000-0008-0000-26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7675" y="6953250"/>
          <a:ext cx="468000" cy="468000"/>
        </a:xfrm>
        <a:prstGeom prst="rect">
          <a:avLst/>
        </a:prstGeom>
      </xdr:spPr>
    </xdr:pic>
    <xdr:clientData/>
  </xdr:oneCellAnchor>
  <xdr:twoCellAnchor editAs="oneCell">
    <xdr:from>
      <xdr:col>1</xdr:col>
      <xdr:colOff>19050</xdr:colOff>
      <xdr:row>33</xdr:row>
      <xdr:rowOff>161925</xdr:rowOff>
    </xdr:from>
    <xdr:to>
      <xdr:col>1</xdr:col>
      <xdr:colOff>379050</xdr:colOff>
      <xdr:row>35</xdr:row>
      <xdr:rowOff>93300</xdr:rowOff>
    </xdr:to>
    <xdr:pic>
      <xdr:nvPicPr>
        <xdr:cNvPr id="16" name="Picture 15">
          <a:extLst>
            <a:ext uri="{FF2B5EF4-FFF2-40B4-BE49-F238E27FC236}">
              <a16:creationId xmlns:a16="http://schemas.microsoft.com/office/drawing/2014/main" id="{00000000-0008-0000-26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0050" y="8420100"/>
          <a:ext cx="360000" cy="360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123825</xdr:colOff>
      <xdr:row>1</xdr:row>
      <xdr:rowOff>133351</xdr:rowOff>
    </xdr:from>
    <xdr:to>
      <xdr:col>2</xdr:col>
      <xdr:colOff>812625</xdr:colOff>
      <xdr:row>3</xdr:row>
      <xdr:rowOff>76351</xdr:rowOff>
    </xdr:to>
    <xdr:sp macro="" textlink="">
      <xdr:nvSpPr>
        <xdr:cNvPr id="2" name="Rectangle à coins arrondis 2">
          <a:hlinkClick xmlns:r="http://schemas.openxmlformats.org/officeDocument/2006/relationships" r:id="rId1" tooltip="Back to H&amp;C"/>
          <a:extLst>
            <a:ext uri="{FF2B5EF4-FFF2-40B4-BE49-F238E27FC236}">
              <a16:creationId xmlns:a16="http://schemas.microsoft.com/office/drawing/2014/main" id="{00000000-0008-0000-2700-000002000000}"/>
            </a:ext>
          </a:extLst>
        </xdr:cNvPr>
        <xdr:cNvSpPr>
          <a:spLocks noChangeArrowheads="1"/>
        </xdr:cNvSpPr>
      </xdr:nvSpPr>
      <xdr:spPr bwMode="auto">
        <a:xfrm>
          <a:off x="438150" y="428626"/>
          <a:ext cx="1908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1133475</xdr:colOff>
      <xdr:row>1</xdr:row>
      <xdr:rowOff>133350</xdr:rowOff>
    </xdr:from>
    <xdr:to>
      <xdr:col>4</xdr:col>
      <xdr:colOff>485550</xdr:colOff>
      <xdr:row>3</xdr:row>
      <xdr:rowOff>76350</xdr:rowOff>
    </xdr:to>
    <xdr:sp macro="" textlink="">
      <xdr:nvSpPr>
        <xdr:cNvPr id="3" name="Rectangle à coins arrondis 4">
          <a:hlinkClick xmlns:r="http://schemas.openxmlformats.org/officeDocument/2006/relationships" r:id="rId2" tooltip="Scorecard"/>
          <a:extLst>
            <a:ext uri="{FF2B5EF4-FFF2-40B4-BE49-F238E27FC236}">
              <a16:creationId xmlns:a16="http://schemas.microsoft.com/office/drawing/2014/main" id="{00000000-0008-0000-2700-000003000000}"/>
            </a:ext>
          </a:extLst>
        </xdr:cNvPr>
        <xdr:cNvSpPr>
          <a:spLocks noChangeArrowheads="1"/>
        </xdr:cNvSpPr>
      </xdr:nvSpPr>
      <xdr:spPr bwMode="auto">
        <a:xfrm>
          <a:off x="2667000" y="428625"/>
          <a:ext cx="180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1162050</xdr:colOff>
      <xdr:row>1</xdr:row>
      <xdr:rowOff>142875</xdr:rowOff>
    </xdr:from>
    <xdr:to>
      <xdr:col>5</xdr:col>
      <xdr:colOff>855600</xdr:colOff>
      <xdr:row>3</xdr:row>
      <xdr:rowOff>49875</xdr:rowOff>
    </xdr:to>
    <xdr:sp macro="" textlink="">
      <xdr:nvSpPr>
        <xdr:cNvPr id="4" name="Rectangle à coins arrondis 2">
          <a:hlinkClick xmlns:r="http://schemas.openxmlformats.org/officeDocument/2006/relationships" r:id="rId3" tooltip="H-BPC-1"/>
          <a:extLst>
            <a:ext uri="{FF2B5EF4-FFF2-40B4-BE49-F238E27FC236}">
              <a16:creationId xmlns:a16="http://schemas.microsoft.com/office/drawing/2014/main" id="{00000000-0008-0000-2700-000004000000}"/>
            </a:ext>
          </a:extLst>
        </xdr:cNvPr>
        <xdr:cNvSpPr>
          <a:spLocks noChangeArrowheads="1"/>
        </xdr:cNvSpPr>
      </xdr:nvSpPr>
      <xdr:spPr bwMode="auto">
        <a:xfrm>
          <a:off x="5143500" y="438150"/>
          <a:ext cx="1008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H-BPC-1</a:t>
          </a:r>
        </a:p>
      </xdr:txBody>
    </xdr:sp>
    <xdr:clientData/>
  </xdr:twoCellAnchor>
  <xdr:twoCellAnchor>
    <xdr:from>
      <xdr:col>5</xdr:col>
      <xdr:colOff>1009650</xdr:colOff>
      <xdr:row>1</xdr:row>
      <xdr:rowOff>142875</xdr:rowOff>
    </xdr:from>
    <xdr:to>
      <xdr:col>6</xdr:col>
      <xdr:colOff>731775</xdr:colOff>
      <xdr:row>3</xdr:row>
      <xdr:rowOff>49875</xdr:rowOff>
    </xdr:to>
    <xdr:sp macro="" textlink="">
      <xdr:nvSpPr>
        <xdr:cNvPr id="5" name="Rectangle à coins arrondis 2">
          <a:hlinkClick xmlns:r="http://schemas.openxmlformats.org/officeDocument/2006/relationships" r:id="rId4" tooltip="H-BPC-2"/>
          <a:extLst>
            <a:ext uri="{FF2B5EF4-FFF2-40B4-BE49-F238E27FC236}">
              <a16:creationId xmlns:a16="http://schemas.microsoft.com/office/drawing/2014/main" id="{00000000-0008-0000-2700-000005000000}"/>
            </a:ext>
          </a:extLst>
        </xdr:cNvPr>
        <xdr:cNvSpPr>
          <a:spLocks noChangeArrowheads="1"/>
        </xdr:cNvSpPr>
      </xdr:nvSpPr>
      <xdr:spPr bwMode="auto">
        <a:xfrm>
          <a:off x="6305550" y="438150"/>
          <a:ext cx="1008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H-BPC-2</a:t>
          </a:r>
        </a:p>
      </xdr:txBody>
    </xdr:sp>
    <xdr:clientData/>
  </xdr:twoCellAnchor>
  <xdr:twoCellAnchor>
    <xdr:from>
      <xdr:col>6</xdr:col>
      <xdr:colOff>847725</xdr:colOff>
      <xdr:row>1</xdr:row>
      <xdr:rowOff>142875</xdr:rowOff>
    </xdr:from>
    <xdr:to>
      <xdr:col>7</xdr:col>
      <xdr:colOff>674625</xdr:colOff>
      <xdr:row>3</xdr:row>
      <xdr:rowOff>49875</xdr:rowOff>
    </xdr:to>
    <xdr:sp macro="" textlink="">
      <xdr:nvSpPr>
        <xdr:cNvPr id="6" name="Rectangle à coins arrondis 2">
          <a:hlinkClick xmlns:r="http://schemas.openxmlformats.org/officeDocument/2006/relationships" r:id="rId5" tooltip="H-BPC-3"/>
          <a:extLst>
            <a:ext uri="{FF2B5EF4-FFF2-40B4-BE49-F238E27FC236}">
              <a16:creationId xmlns:a16="http://schemas.microsoft.com/office/drawing/2014/main" id="{00000000-0008-0000-2700-000006000000}"/>
            </a:ext>
          </a:extLst>
        </xdr:cNvPr>
        <xdr:cNvSpPr>
          <a:spLocks noChangeArrowheads="1"/>
        </xdr:cNvSpPr>
      </xdr:nvSpPr>
      <xdr:spPr bwMode="auto">
        <a:xfrm>
          <a:off x="7429500" y="438150"/>
          <a:ext cx="1008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H-BPC-3</a:t>
          </a:r>
        </a:p>
      </xdr:txBody>
    </xdr:sp>
    <xdr:clientData/>
  </xdr:twoCellAnchor>
  <xdr:twoCellAnchor editAs="oneCell">
    <xdr:from>
      <xdr:col>1</xdr:col>
      <xdr:colOff>38100</xdr:colOff>
      <xdr:row>18</xdr:row>
      <xdr:rowOff>114300</xdr:rowOff>
    </xdr:from>
    <xdr:to>
      <xdr:col>1</xdr:col>
      <xdr:colOff>398100</xdr:colOff>
      <xdr:row>20</xdr:row>
      <xdr:rowOff>93300</xdr:rowOff>
    </xdr:to>
    <xdr:pic>
      <xdr:nvPicPr>
        <xdr:cNvPr id="16" name="Picture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5391150"/>
          <a:ext cx="360000" cy="360000"/>
        </a:xfrm>
        <a:prstGeom prst="rect">
          <a:avLst/>
        </a:prstGeom>
      </xdr:spPr>
    </xdr:pic>
    <xdr:clientData/>
  </xdr:twoCellAnchor>
  <xdr:oneCellAnchor>
    <xdr:from>
      <xdr:col>1</xdr:col>
      <xdr:colOff>28575</xdr:colOff>
      <xdr:row>38</xdr:row>
      <xdr:rowOff>133350</xdr:rowOff>
    </xdr:from>
    <xdr:ext cx="360000" cy="360000"/>
    <xdr:pic>
      <xdr:nvPicPr>
        <xdr:cNvPr id="17" name="Picture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18335625"/>
          <a:ext cx="360000" cy="360000"/>
        </a:xfrm>
        <a:prstGeom prst="rect">
          <a:avLst/>
        </a:prstGeom>
      </xdr:spPr>
    </xdr:pic>
    <xdr:clientData/>
  </xdr:oneCellAnchor>
  <xdr:twoCellAnchor editAs="oneCell">
    <xdr:from>
      <xdr:col>1</xdr:col>
      <xdr:colOff>38100</xdr:colOff>
      <xdr:row>120</xdr:row>
      <xdr:rowOff>123825</xdr:rowOff>
    </xdr:from>
    <xdr:to>
      <xdr:col>1</xdr:col>
      <xdr:colOff>398100</xdr:colOff>
      <xdr:row>122</xdr:row>
      <xdr:rowOff>93300</xdr:rowOff>
    </xdr:to>
    <xdr:pic>
      <xdr:nvPicPr>
        <xdr:cNvPr id="18" name="Picture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24784050"/>
          <a:ext cx="360000" cy="360000"/>
        </a:xfrm>
        <a:prstGeom prst="rect">
          <a:avLst/>
        </a:prstGeom>
      </xdr:spPr>
    </xdr:pic>
    <xdr:clientData/>
  </xdr:twoCellAnchor>
  <xdr:twoCellAnchor editAs="oneCell">
    <xdr:from>
      <xdr:col>1</xdr:col>
      <xdr:colOff>9525</xdr:colOff>
      <xdr:row>123</xdr:row>
      <xdr:rowOff>104775</xdr:rowOff>
    </xdr:from>
    <xdr:to>
      <xdr:col>1</xdr:col>
      <xdr:colOff>405525</xdr:colOff>
      <xdr:row>125</xdr:row>
      <xdr:rowOff>119775</xdr:rowOff>
    </xdr:to>
    <xdr:pic>
      <xdr:nvPicPr>
        <xdr:cNvPr id="19" name="Picture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850" y="24974550"/>
          <a:ext cx="396000" cy="396000"/>
        </a:xfrm>
        <a:prstGeom prst="rect">
          <a:avLst/>
        </a:prstGeom>
      </xdr:spPr>
    </xdr:pic>
    <xdr:clientData/>
  </xdr:twoCellAnchor>
  <xdr:oneCellAnchor>
    <xdr:from>
      <xdr:col>1</xdr:col>
      <xdr:colOff>38100</xdr:colOff>
      <xdr:row>126</xdr:row>
      <xdr:rowOff>114300</xdr:rowOff>
    </xdr:from>
    <xdr:ext cx="360000" cy="360000"/>
    <xdr:pic>
      <xdr:nvPicPr>
        <xdr:cNvPr id="20" name="Picture 19">
          <a:extLst>
            <a:ext uri="{FF2B5EF4-FFF2-40B4-BE49-F238E27FC236}">
              <a16:creationId xmlns:a16="http://schemas.microsoft.com/office/drawing/2014/main" id="{00000000-0008-0000-2700-00001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25555575"/>
          <a:ext cx="360000" cy="360000"/>
        </a:xfrm>
        <a:prstGeom prst="rect">
          <a:avLst/>
        </a:prstGeom>
      </xdr:spPr>
    </xdr:pic>
    <xdr:clientData/>
  </xdr:oneCellAnchor>
  <xdr:twoCellAnchor>
    <xdr:from>
      <xdr:col>7</xdr:col>
      <xdr:colOff>1104899</xdr:colOff>
      <xdr:row>1</xdr:row>
      <xdr:rowOff>114300</xdr:rowOff>
    </xdr:from>
    <xdr:to>
      <xdr:col>8</xdr:col>
      <xdr:colOff>355799</xdr:colOff>
      <xdr:row>3</xdr:row>
      <xdr:rowOff>85725</xdr:rowOff>
    </xdr:to>
    <xdr:sp macro="" textlink="">
      <xdr:nvSpPr>
        <xdr:cNvPr id="29" name="Up Arrow 28">
          <a:hlinkClick xmlns:r="http://schemas.openxmlformats.org/officeDocument/2006/relationships" r:id="rId9" tooltip="Back to top"/>
          <a:extLst>
            <a:ext uri="{FF2B5EF4-FFF2-40B4-BE49-F238E27FC236}">
              <a16:creationId xmlns:a16="http://schemas.microsoft.com/office/drawing/2014/main" id="{00000000-0008-0000-2700-00001D000000}"/>
            </a:ext>
          </a:extLst>
        </xdr:cNvPr>
        <xdr:cNvSpPr/>
      </xdr:nvSpPr>
      <xdr:spPr>
        <a:xfrm>
          <a:off x="8867774" y="409575"/>
          <a:ext cx="432000"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19050</xdr:colOff>
      <xdr:row>20</xdr:row>
      <xdr:rowOff>133350</xdr:rowOff>
    </xdr:from>
    <xdr:ext cx="394466" cy="396000"/>
    <xdr:pic>
      <xdr:nvPicPr>
        <xdr:cNvPr id="22" name="Picture 21">
          <a:extLst>
            <a:ext uri="{FF2B5EF4-FFF2-40B4-BE49-F238E27FC236}">
              <a16:creationId xmlns:a16="http://schemas.microsoft.com/office/drawing/2014/main" id="{00000000-0008-0000-2700-00001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3375" y="5791200"/>
          <a:ext cx="394466" cy="396000"/>
        </a:xfrm>
        <a:prstGeom prst="rect">
          <a:avLst/>
        </a:prstGeom>
      </xdr:spPr>
    </xdr:pic>
    <xdr:clientData/>
  </xdr:oneCellAnchor>
  <xdr:oneCellAnchor>
    <xdr:from>
      <xdr:col>1</xdr:col>
      <xdr:colOff>0</xdr:colOff>
      <xdr:row>77</xdr:row>
      <xdr:rowOff>95250</xdr:rowOff>
    </xdr:from>
    <xdr:ext cx="396000" cy="396000"/>
    <xdr:pic>
      <xdr:nvPicPr>
        <xdr:cNvPr id="23" name="Picture 22">
          <a:extLst>
            <a:ext uri="{FF2B5EF4-FFF2-40B4-BE49-F238E27FC236}">
              <a16:creationId xmlns:a16="http://schemas.microsoft.com/office/drawing/2014/main" id="{00000000-0008-0000-2700-00001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14325" y="4933950"/>
          <a:ext cx="396000" cy="396000"/>
        </a:xfrm>
        <a:prstGeom prst="rect">
          <a:avLst/>
        </a:prstGeom>
      </xdr:spPr>
    </xdr:pic>
    <xdr:clientData/>
  </xdr:oneCellAnchor>
  <xdr:oneCellAnchor>
    <xdr:from>
      <xdr:col>1</xdr:col>
      <xdr:colOff>38100</xdr:colOff>
      <xdr:row>79</xdr:row>
      <xdr:rowOff>161925</xdr:rowOff>
    </xdr:from>
    <xdr:ext cx="360000" cy="360000"/>
    <xdr:pic>
      <xdr:nvPicPr>
        <xdr:cNvPr id="24" name="Picture 23">
          <a:extLst>
            <a:ext uri="{FF2B5EF4-FFF2-40B4-BE49-F238E27FC236}">
              <a16:creationId xmlns:a16="http://schemas.microsoft.com/office/drawing/2014/main" id="{00000000-0008-0000-2700-00001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18716625"/>
          <a:ext cx="360000" cy="360000"/>
        </a:xfrm>
        <a:prstGeom prst="rect">
          <a:avLst/>
        </a:prstGeom>
      </xdr:spPr>
    </xdr:pic>
    <xdr:clientData/>
  </xdr:oneCellAnchor>
  <xdr:twoCellAnchor editAs="oneCell">
    <xdr:from>
      <xdr:col>1</xdr:col>
      <xdr:colOff>0</xdr:colOff>
      <xdr:row>167</xdr:row>
      <xdr:rowOff>104775</xdr:rowOff>
    </xdr:from>
    <xdr:to>
      <xdr:col>1</xdr:col>
      <xdr:colOff>396000</xdr:colOff>
      <xdr:row>169</xdr:row>
      <xdr:rowOff>81675</xdr:rowOff>
    </xdr:to>
    <xdr:pic>
      <xdr:nvPicPr>
        <xdr:cNvPr id="25" name="Picture 24">
          <a:extLst>
            <a:ext uri="{FF2B5EF4-FFF2-40B4-BE49-F238E27FC236}">
              <a16:creationId xmlns:a16="http://schemas.microsoft.com/office/drawing/2014/main" id="{00000000-0008-0000-2700-00001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81000" y="17830800"/>
          <a:ext cx="396000" cy="396000"/>
        </a:xfrm>
        <a:prstGeom prst="rect">
          <a:avLst/>
        </a:prstGeom>
      </xdr:spPr>
    </xdr:pic>
    <xdr:clientData/>
  </xdr:twoCellAnchor>
  <xdr:oneCellAnchor>
    <xdr:from>
      <xdr:col>1</xdr:col>
      <xdr:colOff>28575</xdr:colOff>
      <xdr:row>177</xdr:row>
      <xdr:rowOff>123825</xdr:rowOff>
    </xdr:from>
    <xdr:ext cx="360000" cy="360000"/>
    <xdr:pic>
      <xdr:nvPicPr>
        <xdr:cNvPr id="26" name="Picture 25">
          <a:extLst>
            <a:ext uri="{FF2B5EF4-FFF2-40B4-BE49-F238E27FC236}">
              <a16:creationId xmlns:a16="http://schemas.microsoft.com/office/drawing/2014/main" id="{00000000-0008-0000-2700-00001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9575" y="19792950"/>
          <a:ext cx="360000" cy="360000"/>
        </a:xfrm>
        <a:prstGeom prst="rect">
          <a:avLst/>
        </a:prstGeom>
      </xdr:spPr>
    </xdr:pic>
    <xdr:clientData/>
  </xdr:oneCellAnchor>
  <xdr:twoCellAnchor editAs="oneCell">
    <xdr:from>
      <xdr:col>1</xdr:col>
      <xdr:colOff>47625</xdr:colOff>
      <xdr:row>171</xdr:row>
      <xdr:rowOff>66675</xdr:rowOff>
    </xdr:from>
    <xdr:to>
      <xdr:col>1</xdr:col>
      <xdr:colOff>551625</xdr:colOff>
      <xdr:row>173</xdr:row>
      <xdr:rowOff>151575</xdr:rowOff>
    </xdr:to>
    <xdr:pic>
      <xdr:nvPicPr>
        <xdr:cNvPr id="27" name="Picture 26">
          <a:extLst>
            <a:ext uri="{FF2B5EF4-FFF2-40B4-BE49-F238E27FC236}">
              <a16:creationId xmlns:a16="http://schemas.microsoft.com/office/drawing/2014/main" id="{00000000-0008-0000-2700-00001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28625" y="18554700"/>
          <a:ext cx="504000" cy="504000"/>
        </a:xfrm>
        <a:prstGeom prst="rect">
          <a:avLst/>
        </a:prstGeom>
      </xdr:spPr>
    </xdr:pic>
    <xdr:clientData/>
  </xdr:twoCellAnchor>
  <xdr:twoCellAnchor editAs="oneCell">
    <xdr:from>
      <xdr:col>1</xdr:col>
      <xdr:colOff>28575</xdr:colOff>
      <xdr:row>180</xdr:row>
      <xdr:rowOff>9525</xdr:rowOff>
    </xdr:from>
    <xdr:to>
      <xdr:col>1</xdr:col>
      <xdr:colOff>388575</xdr:colOff>
      <xdr:row>181</xdr:row>
      <xdr:rowOff>159975</xdr:rowOff>
    </xdr:to>
    <xdr:pic>
      <xdr:nvPicPr>
        <xdr:cNvPr id="28" name="Picture 27">
          <a:extLst>
            <a:ext uri="{FF2B5EF4-FFF2-40B4-BE49-F238E27FC236}">
              <a16:creationId xmlns:a16="http://schemas.microsoft.com/office/drawing/2014/main" id="{00000000-0008-0000-2700-00001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9575" y="20269200"/>
          <a:ext cx="360000" cy="360000"/>
        </a:xfrm>
        <a:prstGeom prst="rect">
          <a:avLst/>
        </a:prstGeom>
      </xdr:spPr>
    </xdr:pic>
    <xdr:clientData/>
  </xdr:twoCellAnchor>
  <xdr:oneCellAnchor>
    <xdr:from>
      <xdr:col>1</xdr:col>
      <xdr:colOff>28575</xdr:colOff>
      <xdr:row>182</xdr:row>
      <xdr:rowOff>66675</xdr:rowOff>
    </xdr:from>
    <xdr:ext cx="360000" cy="360000"/>
    <xdr:pic>
      <xdr:nvPicPr>
        <xdr:cNvPr id="30" name="Picture 29">
          <a:extLst>
            <a:ext uri="{FF2B5EF4-FFF2-40B4-BE49-F238E27FC236}">
              <a16:creationId xmlns:a16="http://schemas.microsoft.com/office/drawing/2014/main" id="{00000000-0008-0000-2700-00001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9575" y="20707350"/>
          <a:ext cx="360000" cy="360000"/>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editAs="oneCell">
    <xdr:from>
      <xdr:col>9</xdr:col>
      <xdr:colOff>158750</xdr:colOff>
      <xdr:row>0</xdr:row>
      <xdr:rowOff>63499</xdr:rowOff>
    </xdr:from>
    <xdr:to>
      <xdr:col>11</xdr:col>
      <xdr:colOff>151405</xdr:colOff>
      <xdr:row>2</xdr:row>
      <xdr:rowOff>181390</xdr:rowOff>
    </xdr:to>
    <xdr:pic>
      <xdr:nvPicPr>
        <xdr:cNvPr id="4" name="Picture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cstate="print"/>
        <a:stretch>
          <a:fillRect/>
        </a:stretch>
      </xdr:blipFill>
      <xdr:spPr>
        <a:xfrm>
          <a:off x="9715500" y="63499"/>
          <a:ext cx="860488" cy="901058"/>
        </a:xfrm>
        <a:prstGeom prst="rect">
          <a:avLst/>
        </a:prstGeom>
      </xdr:spPr>
    </xdr:pic>
    <xdr:clientData/>
  </xdr:twoCellAnchor>
  <xdr:twoCellAnchor>
    <xdr:from>
      <xdr:col>1</xdr:col>
      <xdr:colOff>0</xdr:colOff>
      <xdr:row>13</xdr:row>
      <xdr:rowOff>0</xdr:rowOff>
    </xdr:from>
    <xdr:to>
      <xdr:col>1</xdr:col>
      <xdr:colOff>1980000</xdr:colOff>
      <xdr:row>15</xdr:row>
      <xdr:rowOff>15000</xdr:rowOff>
    </xdr:to>
    <xdr:sp macro="" textlink="">
      <xdr:nvSpPr>
        <xdr:cNvPr id="6" name="Rectangle à coins arrondis 2">
          <a:hlinkClick xmlns:r="http://schemas.openxmlformats.org/officeDocument/2006/relationships" r:id="rId2" tooltip="Scorecard"/>
          <a:extLst>
            <a:ext uri="{FF2B5EF4-FFF2-40B4-BE49-F238E27FC236}">
              <a16:creationId xmlns:a16="http://schemas.microsoft.com/office/drawing/2014/main" id="{00000000-0008-0000-2800-000006000000}"/>
            </a:ext>
          </a:extLst>
        </xdr:cNvPr>
        <xdr:cNvSpPr>
          <a:spLocks noChangeArrowheads="1"/>
        </xdr:cNvSpPr>
      </xdr:nvSpPr>
      <xdr:spPr bwMode="auto">
        <a:xfrm>
          <a:off x="381000" y="3735917"/>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238124</xdr:colOff>
      <xdr:row>1</xdr:row>
      <xdr:rowOff>114301</xdr:rowOff>
    </xdr:from>
    <xdr:to>
      <xdr:col>2</xdr:col>
      <xdr:colOff>453749</xdr:colOff>
      <xdr:row>3</xdr:row>
      <xdr:rowOff>57301</xdr:rowOff>
    </xdr:to>
    <xdr:sp macro="" textlink="">
      <xdr:nvSpPr>
        <xdr:cNvPr id="2" name="Rectangle à coins arrondis 2">
          <a:hlinkClick xmlns:r="http://schemas.openxmlformats.org/officeDocument/2006/relationships" r:id="rId1" tooltip="Back to LE"/>
          <a:extLst>
            <a:ext uri="{FF2B5EF4-FFF2-40B4-BE49-F238E27FC236}">
              <a16:creationId xmlns:a16="http://schemas.microsoft.com/office/drawing/2014/main" id="{00000000-0008-0000-2900-000002000000}"/>
            </a:ext>
          </a:extLst>
        </xdr:cNvPr>
        <xdr:cNvSpPr>
          <a:spLocks noChangeArrowheads="1"/>
        </xdr:cNvSpPr>
      </xdr:nvSpPr>
      <xdr:spPr bwMode="auto">
        <a:xfrm>
          <a:off x="238124" y="409576"/>
          <a:ext cx="1692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LE</a:t>
          </a:r>
        </a:p>
      </xdr:txBody>
    </xdr:sp>
    <xdr:clientData/>
  </xdr:twoCellAnchor>
  <xdr:twoCellAnchor>
    <xdr:from>
      <xdr:col>4</xdr:col>
      <xdr:colOff>304800</xdr:colOff>
      <xdr:row>1</xdr:row>
      <xdr:rowOff>133350</xdr:rowOff>
    </xdr:from>
    <xdr:to>
      <xdr:col>5</xdr:col>
      <xdr:colOff>48075</xdr:colOff>
      <xdr:row>3</xdr:row>
      <xdr:rowOff>40350</xdr:rowOff>
    </xdr:to>
    <xdr:sp macro="" textlink="">
      <xdr:nvSpPr>
        <xdr:cNvPr id="6" name="Rectangle à coins arrondis 2">
          <a:hlinkClick xmlns:r="http://schemas.openxmlformats.org/officeDocument/2006/relationships" r:id="rId2" tooltip="Strategy A"/>
          <a:extLst>
            <a:ext uri="{FF2B5EF4-FFF2-40B4-BE49-F238E27FC236}">
              <a16:creationId xmlns:a16="http://schemas.microsoft.com/office/drawing/2014/main" id="{00000000-0008-0000-2900-000006000000}"/>
            </a:ext>
          </a:extLst>
        </xdr:cNvPr>
        <xdr:cNvSpPr>
          <a:spLocks noChangeArrowheads="1"/>
        </xdr:cNvSpPr>
      </xdr:nvSpPr>
      <xdr:spPr bwMode="auto">
        <a:xfrm>
          <a:off x="4257675" y="42862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142874</xdr:colOff>
      <xdr:row>1</xdr:row>
      <xdr:rowOff>133350</xdr:rowOff>
    </xdr:from>
    <xdr:to>
      <xdr:col>5</xdr:col>
      <xdr:colOff>1114874</xdr:colOff>
      <xdr:row>3</xdr:row>
      <xdr:rowOff>40350</xdr:rowOff>
    </xdr:to>
    <xdr:sp macro="" textlink="">
      <xdr:nvSpPr>
        <xdr:cNvPr id="7" name="Rectangle à coins arrondis 2">
          <a:hlinkClick xmlns:r="http://schemas.openxmlformats.org/officeDocument/2006/relationships" r:id="rId3" tooltip="Strategy B"/>
          <a:extLst>
            <a:ext uri="{FF2B5EF4-FFF2-40B4-BE49-F238E27FC236}">
              <a16:creationId xmlns:a16="http://schemas.microsoft.com/office/drawing/2014/main" id="{00000000-0008-0000-2900-000007000000}"/>
            </a:ext>
          </a:extLst>
        </xdr:cNvPr>
        <xdr:cNvSpPr>
          <a:spLocks noChangeArrowheads="1"/>
        </xdr:cNvSpPr>
      </xdr:nvSpPr>
      <xdr:spPr bwMode="auto">
        <a:xfrm>
          <a:off x="5324474" y="42862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6</xdr:col>
      <xdr:colOff>28574</xdr:colOff>
      <xdr:row>1</xdr:row>
      <xdr:rowOff>133350</xdr:rowOff>
    </xdr:from>
    <xdr:to>
      <xdr:col>6</xdr:col>
      <xdr:colOff>1000574</xdr:colOff>
      <xdr:row>3</xdr:row>
      <xdr:rowOff>40350</xdr:rowOff>
    </xdr:to>
    <xdr:sp macro="" textlink="">
      <xdr:nvSpPr>
        <xdr:cNvPr id="5" name="Rectangle à coins arrondis 2">
          <a:hlinkClick xmlns:r="http://schemas.openxmlformats.org/officeDocument/2006/relationships" r:id="rId4" tooltip="Strategy C"/>
          <a:extLst>
            <a:ext uri="{FF2B5EF4-FFF2-40B4-BE49-F238E27FC236}">
              <a16:creationId xmlns:a16="http://schemas.microsoft.com/office/drawing/2014/main" id="{00000000-0008-0000-2900-000005000000}"/>
            </a:ext>
          </a:extLst>
        </xdr:cNvPr>
        <xdr:cNvSpPr>
          <a:spLocks noChangeArrowheads="1"/>
        </xdr:cNvSpPr>
      </xdr:nvSpPr>
      <xdr:spPr bwMode="auto">
        <a:xfrm>
          <a:off x="6391274" y="42862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6</xdr:col>
      <xdr:colOff>1095374</xdr:colOff>
      <xdr:row>1</xdr:row>
      <xdr:rowOff>133350</xdr:rowOff>
    </xdr:from>
    <xdr:to>
      <xdr:col>7</xdr:col>
      <xdr:colOff>905324</xdr:colOff>
      <xdr:row>3</xdr:row>
      <xdr:rowOff>40350</xdr:rowOff>
    </xdr:to>
    <xdr:sp macro="" textlink="">
      <xdr:nvSpPr>
        <xdr:cNvPr id="8" name="Rectangle à coins arrondis 2">
          <a:hlinkClick xmlns:r="http://schemas.openxmlformats.org/officeDocument/2006/relationships" r:id="rId5" tooltip="Strategy D"/>
          <a:extLst>
            <a:ext uri="{FF2B5EF4-FFF2-40B4-BE49-F238E27FC236}">
              <a16:creationId xmlns:a16="http://schemas.microsoft.com/office/drawing/2014/main" id="{00000000-0008-0000-2900-000008000000}"/>
            </a:ext>
          </a:extLst>
        </xdr:cNvPr>
        <xdr:cNvSpPr>
          <a:spLocks noChangeArrowheads="1"/>
        </xdr:cNvSpPr>
      </xdr:nvSpPr>
      <xdr:spPr bwMode="auto">
        <a:xfrm>
          <a:off x="7458074" y="42862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xdr:from>
      <xdr:col>2</xdr:col>
      <xdr:colOff>742950</xdr:colOff>
      <xdr:row>1</xdr:row>
      <xdr:rowOff>114300</xdr:rowOff>
    </xdr:from>
    <xdr:to>
      <xdr:col>3</xdr:col>
      <xdr:colOff>1187175</xdr:colOff>
      <xdr:row>3</xdr:row>
      <xdr:rowOff>57300</xdr:rowOff>
    </xdr:to>
    <xdr:sp macro="" textlink="">
      <xdr:nvSpPr>
        <xdr:cNvPr id="9" name="Rectangle à coins arrondis 2">
          <a:hlinkClick xmlns:r="http://schemas.openxmlformats.org/officeDocument/2006/relationships" r:id="rId6" tooltip="Scorecard"/>
          <a:extLst>
            <a:ext uri="{FF2B5EF4-FFF2-40B4-BE49-F238E27FC236}">
              <a16:creationId xmlns:a16="http://schemas.microsoft.com/office/drawing/2014/main" id="{00000000-0008-0000-2900-000009000000}"/>
            </a:ext>
          </a:extLst>
        </xdr:cNvPr>
        <xdr:cNvSpPr>
          <a:spLocks noChangeArrowheads="1"/>
        </xdr:cNvSpPr>
      </xdr:nvSpPr>
      <xdr:spPr bwMode="auto">
        <a:xfrm>
          <a:off x="2219325" y="409575"/>
          <a:ext cx="1692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0</xdr:colOff>
      <xdr:row>20</xdr:row>
      <xdr:rowOff>85725</xdr:rowOff>
    </xdr:from>
    <xdr:to>
      <xdr:col>1</xdr:col>
      <xdr:colOff>396000</xdr:colOff>
      <xdr:row>22</xdr:row>
      <xdr:rowOff>100725</xdr:rowOff>
    </xdr:to>
    <xdr:pic>
      <xdr:nvPicPr>
        <xdr:cNvPr id="10" name="Picture 9">
          <a:extLst>
            <a:ext uri="{FF2B5EF4-FFF2-40B4-BE49-F238E27FC236}">
              <a16:creationId xmlns:a16="http://schemas.microsoft.com/office/drawing/2014/main" id="{00000000-0008-0000-29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650" y="5305425"/>
          <a:ext cx="396000" cy="396000"/>
        </a:xfrm>
        <a:prstGeom prst="rect">
          <a:avLst/>
        </a:prstGeom>
      </xdr:spPr>
    </xdr:pic>
    <xdr:clientData/>
  </xdr:twoCellAnchor>
  <xdr:twoCellAnchor editAs="oneCell">
    <xdr:from>
      <xdr:col>1</xdr:col>
      <xdr:colOff>28575</xdr:colOff>
      <xdr:row>22</xdr:row>
      <xdr:rowOff>161925</xdr:rowOff>
    </xdr:from>
    <xdr:to>
      <xdr:col>1</xdr:col>
      <xdr:colOff>388575</xdr:colOff>
      <xdr:row>24</xdr:row>
      <xdr:rowOff>74250</xdr:rowOff>
    </xdr:to>
    <xdr:pic>
      <xdr:nvPicPr>
        <xdr:cNvPr id="11" name="Picture 10">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 y="5762625"/>
          <a:ext cx="360000" cy="360000"/>
        </a:xfrm>
        <a:prstGeom prst="rect">
          <a:avLst/>
        </a:prstGeom>
      </xdr:spPr>
    </xdr:pic>
    <xdr:clientData/>
  </xdr:twoCellAnchor>
  <xdr:oneCellAnchor>
    <xdr:from>
      <xdr:col>1</xdr:col>
      <xdr:colOff>0</xdr:colOff>
      <xdr:row>60</xdr:row>
      <xdr:rowOff>85725</xdr:rowOff>
    </xdr:from>
    <xdr:ext cx="396000" cy="396000"/>
    <xdr:pic>
      <xdr:nvPicPr>
        <xdr:cNvPr id="12" name="Picture 11">
          <a:extLst>
            <a:ext uri="{FF2B5EF4-FFF2-40B4-BE49-F238E27FC236}">
              <a16:creationId xmlns:a16="http://schemas.microsoft.com/office/drawing/2014/main" id="{00000000-0008-0000-29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650" y="5305425"/>
          <a:ext cx="396000" cy="396000"/>
        </a:xfrm>
        <a:prstGeom prst="rect">
          <a:avLst/>
        </a:prstGeom>
      </xdr:spPr>
    </xdr:pic>
    <xdr:clientData/>
  </xdr:oneCellAnchor>
  <xdr:oneCellAnchor>
    <xdr:from>
      <xdr:col>1</xdr:col>
      <xdr:colOff>0</xdr:colOff>
      <xdr:row>84</xdr:row>
      <xdr:rowOff>85725</xdr:rowOff>
    </xdr:from>
    <xdr:ext cx="396000" cy="396000"/>
    <xdr:pic>
      <xdr:nvPicPr>
        <xdr:cNvPr id="13" name="Picture 12">
          <a:extLst>
            <a:ext uri="{FF2B5EF4-FFF2-40B4-BE49-F238E27FC236}">
              <a16:creationId xmlns:a16="http://schemas.microsoft.com/office/drawing/2014/main" id="{00000000-0008-0000-29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650" y="14535150"/>
          <a:ext cx="396000" cy="396000"/>
        </a:xfrm>
        <a:prstGeom prst="rect">
          <a:avLst/>
        </a:prstGeom>
      </xdr:spPr>
    </xdr:pic>
    <xdr:clientData/>
  </xdr:oneCellAnchor>
  <xdr:oneCellAnchor>
    <xdr:from>
      <xdr:col>1</xdr:col>
      <xdr:colOff>0</xdr:colOff>
      <xdr:row>106</xdr:row>
      <xdr:rowOff>85725</xdr:rowOff>
    </xdr:from>
    <xdr:ext cx="396000" cy="396000"/>
    <xdr:pic>
      <xdr:nvPicPr>
        <xdr:cNvPr id="14" name="Picture 13">
          <a:extLst>
            <a:ext uri="{FF2B5EF4-FFF2-40B4-BE49-F238E27FC236}">
              <a16:creationId xmlns:a16="http://schemas.microsoft.com/office/drawing/2014/main" id="{00000000-0008-0000-29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650" y="18640425"/>
          <a:ext cx="396000" cy="396000"/>
        </a:xfrm>
        <a:prstGeom prst="rect">
          <a:avLst/>
        </a:prstGeom>
      </xdr:spPr>
    </xdr:pic>
    <xdr:clientData/>
  </xdr:oneCellAnchor>
  <xdr:oneCellAnchor>
    <xdr:from>
      <xdr:col>1</xdr:col>
      <xdr:colOff>38100</xdr:colOff>
      <xdr:row>62</xdr:row>
      <xdr:rowOff>161925</xdr:rowOff>
    </xdr:from>
    <xdr:ext cx="360000" cy="360000"/>
    <xdr:pic>
      <xdr:nvPicPr>
        <xdr:cNvPr id="15" name="Picture 14">
          <a:extLst>
            <a:ext uri="{FF2B5EF4-FFF2-40B4-BE49-F238E27FC236}">
              <a16:creationId xmlns:a16="http://schemas.microsoft.com/office/drawing/2014/main" id="{00000000-0008-0000-29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0" y="14992350"/>
          <a:ext cx="360000" cy="360000"/>
        </a:xfrm>
        <a:prstGeom prst="rect">
          <a:avLst/>
        </a:prstGeom>
      </xdr:spPr>
    </xdr:pic>
    <xdr:clientData/>
  </xdr:oneCellAnchor>
  <xdr:twoCellAnchor editAs="oneCell">
    <xdr:from>
      <xdr:col>1</xdr:col>
      <xdr:colOff>0</xdr:colOff>
      <xdr:row>108</xdr:row>
      <xdr:rowOff>114300</xdr:rowOff>
    </xdr:from>
    <xdr:to>
      <xdr:col>1</xdr:col>
      <xdr:colOff>394465</xdr:colOff>
      <xdr:row>110</xdr:row>
      <xdr:rowOff>129300</xdr:rowOff>
    </xdr:to>
    <xdr:pic>
      <xdr:nvPicPr>
        <xdr:cNvPr id="16" name="Picture 15">
          <a:extLst>
            <a:ext uri="{FF2B5EF4-FFF2-40B4-BE49-F238E27FC236}">
              <a16:creationId xmlns:a16="http://schemas.microsoft.com/office/drawing/2014/main" id="{00000000-0008-0000-29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7650" y="25612725"/>
          <a:ext cx="394465" cy="396000"/>
        </a:xfrm>
        <a:prstGeom prst="rect">
          <a:avLst/>
        </a:prstGeom>
      </xdr:spPr>
    </xdr:pic>
    <xdr:clientData/>
  </xdr:twoCellAnchor>
  <xdr:twoCellAnchor editAs="oneCell">
    <xdr:from>
      <xdr:col>1</xdr:col>
      <xdr:colOff>9525</xdr:colOff>
      <xdr:row>87</xdr:row>
      <xdr:rowOff>0</xdr:rowOff>
    </xdr:from>
    <xdr:to>
      <xdr:col>1</xdr:col>
      <xdr:colOff>403990</xdr:colOff>
      <xdr:row>89</xdr:row>
      <xdr:rowOff>15000</xdr:rowOff>
    </xdr:to>
    <xdr:pic>
      <xdr:nvPicPr>
        <xdr:cNvPr id="17" name="Picture 16">
          <a:extLst>
            <a:ext uri="{FF2B5EF4-FFF2-40B4-BE49-F238E27FC236}">
              <a16:creationId xmlns:a16="http://schemas.microsoft.com/office/drawing/2014/main" id="{00000000-0008-0000-2900-00001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7175" y="20669250"/>
          <a:ext cx="394465" cy="396000"/>
        </a:xfrm>
        <a:prstGeom prst="rect">
          <a:avLst/>
        </a:prstGeom>
      </xdr:spPr>
    </xdr:pic>
    <xdr:clientData/>
  </xdr:twoCellAnchor>
  <xdr:oneCellAnchor>
    <xdr:from>
      <xdr:col>1</xdr:col>
      <xdr:colOff>38100</xdr:colOff>
      <xdr:row>111</xdr:row>
      <xdr:rowOff>57150</xdr:rowOff>
    </xdr:from>
    <xdr:ext cx="360000" cy="360000"/>
    <xdr:pic>
      <xdr:nvPicPr>
        <xdr:cNvPr id="18" name="Picture 17">
          <a:extLst>
            <a:ext uri="{FF2B5EF4-FFF2-40B4-BE49-F238E27FC236}">
              <a16:creationId xmlns:a16="http://schemas.microsoft.com/office/drawing/2014/main" id="{00000000-0008-0000-29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0" y="25688925"/>
          <a:ext cx="360000" cy="360000"/>
        </a:xfrm>
        <a:prstGeom prst="rect">
          <a:avLst/>
        </a:prstGeom>
      </xdr:spPr>
    </xdr:pic>
    <xdr:clientData/>
  </xdr:oneCellAnchor>
  <xdr:twoCellAnchor>
    <xdr:from>
      <xdr:col>7</xdr:col>
      <xdr:colOff>1066800</xdr:colOff>
      <xdr:row>1</xdr:row>
      <xdr:rowOff>95250</xdr:rowOff>
    </xdr:from>
    <xdr:to>
      <xdr:col>8</xdr:col>
      <xdr:colOff>238125</xdr:colOff>
      <xdr:row>3</xdr:row>
      <xdr:rowOff>66675</xdr:rowOff>
    </xdr:to>
    <xdr:sp macro="" textlink="">
      <xdr:nvSpPr>
        <xdr:cNvPr id="19" name="Up Arrow 18">
          <a:hlinkClick xmlns:r="http://schemas.openxmlformats.org/officeDocument/2006/relationships" r:id="rId10" tooltip="Back to top"/>
          <a:extLst>
            <a:ext uri="{FF2B5EF4-FFF2-40B4-BE49-F238E27FC236}">
              <a16:creationId xmlns:a16="http://schemas.microsoft.com/office/drawing/2014/main" id="{00000000-0008-0000-2900-000013000000}"/>
            </a:ext>
          </a:extLst>
        </xdr:cNvPr>
        <xdr:cNvSpPr/>
      </xdr:nvSpPr>
      <xdr:spPr>
        <a:xfrm>
          <a:off x="8591550" y="390525"/>
          <a:ext cx="447675"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5</xdr:col>
      <xdr:colOff>619124</xdr:colOff>
      <xdr:row>35</xdr:row>
      <xdr:rowOff>152399</xdr:rowOff>
    </xdr:from>
    <xdr:to>
      <xdr:col>8</xdr:col>
      <xdr:colOff>238125</xdr:colOff>
      <xdr:row>37</xdr:row>
      <xdr:rowOff>59398</xdr:rowOff>
    </xdr:to>
    <xdr:sp macro="" textlink="">
      <xdr:nvSpPr>
        <xdr:cNvPr id="6" name="Rectangle à coins arrondis 2">
          <a:hlinkClick xmlns:r="http://schemas.openxmlformats.org/officeDocument/2006/relationships" r:id="rId1" tooltip="Resources"/>
          <a:extLst>
            <a:ext uri="{FF2B5EF4-FFF2-40B4-BE49-F238E27FC236}">
              <a16:creationId xmlns:a16="http://schemas.microsoft.com/office/drawing/2014/main" id="{00000000-0008-0000-2A00-000006000000}"/>
            </a:ext>
          </a:extLst>
        </xdr:cNvPr>
        <xdr:cNvSpPr>
          <a:spLocks noChangeArrowheads="1"/>
        </xdr:cNvSpPr>
      </xdr:nvSpPr>
      <xdr:spPr bwMode="auto">
        <a:xfrm>
          <a:off x="5924549" y="7829549"/>
          <a:ext cx="3333751" cy="326099"/>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an example of site analysis plan.</a:t>
          </a:r>
        </a:p>
      </xdr:txBody>
    </xdr:sp>
    <xdr:clientData/>
  </xdr:twoCellAnchor>
  <xdr:twoCellAnchor>
    <xdr:from>
      <xdr:col>0</xdr:col>
      <xdr:colOff>295275</xdr:colOff>
      <xdr:row>1</xdr:row>
      <xdr:rowOff>114300</xdr:rowOff>
    </xdr:from>
    <xdr:to>
      <xdr:col>2</xdr:col>
      <xdr:colOff>1016025</xdr:colOff>
      <xdr:row>3</xdr:row>
      <xdr:rowOff>57300</xdr:rowOff>
    </xdr:to>
    <xdr:sp macro="" textlink="">
      <xdr:nvSpPr>
        <xdr:cNvPr id="8" name="Rectangle à coins arrondis 7">
          <a:hlinkClick xmlns:r="http://schemas.openxmlformats.org/officeDocument/2006/relationships" r:id="rId2" tooltip="Back to Local Environment"/>
          <a:extLst>
            <a:ext uri="{FF2B5EF4-FFF2-40B4-BE49-F238E27FC236}">
              <a16:creationId xmlns:a16="http://schemas.microsoft.com/office/drawing/2014/main" id="{00000000-0008-0000-2A00-000008000000}"/>
            </a:ext>
          </a:extLst>
        </xdr:cNvPr>
        <xdr:cNvSpPr>
          <a:spLocks noChangeArrowheads="1"/>
        </xdr:cNvSpPr>
      </xdr:nvSpPr>
      <xdr:spPr bwMode="auto">
        <a:xfrm>
          <a:off x="295275" y="419100"/>
          <a:ext cx="234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2</xdr:col>
      <xdr:colOff>1228724</xdr:colOff>
      <xdr:row>1</xdr:row>
      <xdr:rowOff>123825</xdr:rowOff>
    </xdr:from>
    <xdr:to>
      <xdr:col>4</xdr:col>
      <xdr:colOff>693149</xdr:colOff>
      <xdr:row>3</xdr:row>
      <xdr:rowOff>66825</xdr:rowOff>
    </xdr:to>
    <xdr:sp macro="" textlink="">
      <xdr:nvSpPr>
        <xdr:cNvPr id="9" name="Rectangle à coins arrondis 2">
          <a:hlinkClick xmlns:r="http://schemas.openxmlformats.org/officeDocument/2006/relationships" r:id="rId3" tooltip="Scorecard"/>
          <a:extLst>
            <a:ext uri="{FF2B5EF4-FFF2-40B4-BE49-F238E27FC236}">
              <a16:creationId xmlns:a16="http://schemas.microsoft.com/office/drawing/2014/main" id="{00000000-0008-0000-2A00-000009000000}"/>
            </a:ext>
          </a:extLst>
        </xdr:cNvPr>
        <xdr:cNvSpPr>
          <a:spLocks noChangeArrowheads="1"/>
        </xdr:cNvSpPr>
      </xdr:nvSpPr>
      <xdr:spPr bwMode="auto">
        <a:xfrm>
          <a:off x="2847974" y="428625"/>
          <a:ext cx="192187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1095375</xdr:colOff>
      <xdr:row>1</xdr:row>
      <xdr:rowOff>152400</xdr:rowOff>
    </xdr:from>
    <xdr:to>
      <xdr:col>5</xdr:col>
      <xdr:colOff>910650</xdr:colOff>
      <xdr:row>3</xdr:row>
      <xdr:rowOff>59400</xdr:rowOff>
    </xdr:to>
    <xdr:sp macro="" textlink="">
      <xdr:nvSpPr>
        <xdr:cNvPr id="10" name="Rectangle à coins arrondis 2">
          <a:hlinkClick xmlns:r="http://schemas.openxmlformats.org/officeDocument/2006/relationships" r:id="rId4" tooltip="Strategy A"/>
          <a:extLst>
            <a:ext uri="{FF2B5EF4-FFF2-40B4-BE49-F238E27FC236}">
              <a16:creationId xmlns:a16="http://schemas.microsoft.com/office/drawing/2014/main" id="{00000000-0008-0000-2A00-00000A000000}"/>
            </a:ext>
          </a:extLst>
        </xdr:cNvPr>
        <xdr:cNvSpPr>
          <a:spLocks noChangeArrowheads="1"/>
        </xdr:cNvSpPr>
      </xdr:nvSpPr>
      <xdr:spPr bwMode="auto">
        <a:xfrm>
          <a:off x="5172075" y="457200"/>
          <a:ext cx="1044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1057274</xdr:colOff>
      <xdr:row>1</xdr:row>
      <xdr:rowOff>152400</xdr:rowOff>
    </xdr:from>
    <xdr:to>
      <xdr:col>6</xdr:col>
      <xdr:colOff>863024</xdr:colOff>
      <xdr:row>3</xdr:row>
      <xdr:rowOff>59400</xdr:rowOff>
    </xdr:to>
    <xdr:sp macro="" textlink="">
      <xdr:nvSpPr>
        <xdr:cNvPr id="11" name="Rectangle à coins arrondis 2">
          <a:hlinkClick xmlns:r="http://schemas.openxmlformats.org/officeDocument/2006/relationships" r:id="rId5" tooltip="Strategy B"/>
          <a:extLst>
            <a:ext uri="{FF2B5EF4-FFF2-40B4-BE49-F238E27FC236}">
              <a16:creationId xmlns:a16="http://schemas.microsoft.com/office/drawing/2014/main" id="{00000000-0008-0000-2A00-00000B000000}"/>
            </a:ext>
          </a:extLst>
        </xdr:cNvPr>
        <xdr:cNvSpPr>
          <a:spLocks noChangeArrowheads="1"/>
        </xdr:cNvSpPr>
      </xdr:nvSpPr>
      <xdr:spPr bwMode="auto">
        <a:xfrm>
          <a:off x="6362699" y="457200"/>
          <a:ext cx="1044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editAs="oneCell">
    <xdr:from>
      <xdr:col>1</xdr:col>
      <xdr:colOff>0</xdr:colOff>
      <xdr:row>18</xdr:row>
      <xdr:rowOff>57150</xdr:rowOff>
    </xdr:from>
    <xdr:to>
      <xdr:col>1</xdr:col>
      <xdr:colOff>396000</xdr:colOff>
      <xdr:row>20</xdr:row>
      <xdr:rowOff>110250</xdr:rowOff>
    </xdr:to>
    <xdr:pic>
      <xdr:nvPicPr>
        <xdr:cNvPr id="12" name="Picture 11">
          <a:extLst>
            <a:ext uri="{FF2B5EF4-FFF2-40B4-BE49-F238E27FC236}">
              <a16:creationId xmlns:a16="http://schemas.microsoft.com/office/drawing/2014/main" id="{00000000-0008-0000-2A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0525" y="4533900"/>
          <a:ext cx="396000" cy="396000"/>
        </a:xfrm>
        <a:prstGeom prst="rect">
          <a:avLst/>
        </a:prstGeom>
      </xdr:spPr>
    </xdr:pic>
    <xdr:clientData/>
  </xdr:twoCellAnchor>
  <xdr:twoCellAnchor editAs="oneCell">
    <xdr:from>
      <xdr:col>1</xdr:col>
      <xdr:colOff>47625</xdr:colOff>
      <xdr:row>25</xdr:row>
      <xdr:rowOff>47625</xdr:rowOff>
    </xdr:from>
    <xdr:to>
      <xdr:col>1</xdr:col>
      <xdr:colOff>587625</xdr:colOff>
      <xdr:row>28</xdr:row>
      <xdr:rowOff>16125</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8150" y="5819775"/>
          <a:ext cx="540000" cy="540000"/>
        </a:xfrm>
        <a:prstGeom prst="rect">
          <a:avLst/>
        </a:prstGeom>
      </xdr:spPr>
    </xdr:pic>
    <xdr:clientData/>
  </xdr:twoCellAnchor>
  <xdr:oneCellAnchor>
    <xdr:from>
      <xdr:col>0</xdr:col>
      <xdr:colOff>381000</xdr:colOff>
      <xdr:row>67</xdr:row>
      <xdr:rowOff>85725</xdr:rowOff>
    </xdr:from>
    <xdr:ext cx="396000" cy="396000"/>
    <xdr:pic>
      <xdr:nvPicPr>
        <xdr:cNvPr id="13" name="Picture 12">
          <a:extLst>
            <a:ext uri="{FF2B5EF4-FFF2-40B4-BE49-F238E27FC236}">
              <a16:creationId xmlns:a16="http://schemas.microsoft.com/office/drawing/2014/main" id="{00000000-0008-0000-2A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14439900"/>
          <a:ext cx="396000" cy="396000"/>
        </a:xfrm>
        <a:prstGeom prst="rect">
          <a:avLst/>
        </a:prstGeom>
      </xdr:spPr>
    </xdr:pic>
    <xdr:clientData/>
  </xdr:oneCellAnchor>
  <xdr:oneCellAnchor>
    <xdr:from>
      <xdr:col>1</xdr:col>
      <xdr:colOff>47625</xdr:colOff>
      <xdr:row>33</xdr:row>
      <xdr:rowOff>104775</xdr:rowOff>
    </xdr:from>
    <xdr:ext cx="360000" cy="360000"/>
    <xdr:pic>
      <xdr:nvPicPr>
        <xdr:cNvPr id="14" name="Picture 13">
          <a:extLst>
            <a:ext uri="{FF2B5EF4-FFF2-40B4-BE49-F238E27FC236}">
              <a16:creationId xmlns:a16="http://schemas.microsoft.com/office/drawing/2014/main" id="{00000000-0008-0000-2A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 y="26174700"/>
          <a:ext cx="360000" cy="360000"/>
        </a:xfrm>
        <a:prstGeom prst="rect">
          <a:avLst/>
        </a:prstGeom>
      </xdr:spPr>
    </xdr:pic>
    <xdr:clientData/>
  </xdr:oneCellAnchor>
  <xdr:oneCellAnchor>
    <xdr:from>
      <xdr:col>1</xdr:col>
      <xdr:colOff>47625</xdr:colOff>
      <xdr:row>37</xdr:row>
      <xdr:rowOff>104775</xdr:rowOff>
    </xdr:from>
    <xdr:ext cx="360000" cy="360000"/>
    <xdr:pic>
      <xdr:nvPicPr>
        <xdr:cNvPr id="16" name="Picture 15">
          <a:extLst>
            <a:ext uri="{FF2B5EF4-FFF2-40B4-BE49-F238E27FC236}">
              <a16:creationId xmlns:a16="http://schemas.microsoft.com/office/drawing/2014/main" id="{00000000-0008-0000-2A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 y="7400925"/>
          <a:ext cx="360000" cy="360000"/>
        </a:xfrm>
        <a:prstGeom prst="rect">
          <a:avLst/>
        </a:prstGeom>
      </xdr:spPr>
    </xdr:pic>
    <xdr:clientData/>
  </xdr:oneCellAnchor>
  <xdr:oneCellAnchor>
    <xdr:from>
      <xdr:col>1</xdr:col>
      <xdr:colOff>38100</xdr:colOff>
      <xdr:row>71</xdr:row>
      <xdr:rowOff>57150</xdr:rowOff>
    </xdr:from>
    <xdr:ext cx="360000" cy="360000"/>
    <xdr:pic>
      <xdr:nvPicPr>
        <xdr:cNvPr id="17" name="Picture 16">
          <a:extLst>
            <a:ext uri="{FF2B5EF4-FFF2-40B4-BE49-F238E27FC236}">
              <a16:creationId xmlns:a16="http://schemas.microsoft.com/office/drawing/2014/main" id="{00000000-0008-0000-2A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8625" y="15516225"/>
          <a:ext cx="360000" cy="360000"/>
        </a:xfrm>
        <a:prstGeom prst="rect">
          <a:avLst/>
        </a:prstGeom>
      </xdr:spPr>
    </xdr:pic>
    <xdr:clientData/>
  </xdr:oneCellAnchor>
  <xdr:twoCellAnchor>
    <xdr:from>
      <xdr:col>6</xdr:col>
      <xdr:colOff>1162050</xdr:colOff>
      <xdr:row>1</xdr:row>
      <xdr:rowOff>95250</xdr:rowOff>
    </xdr:from>
    <xdr:to>
      <xdr:col>7</xdr:col>
      <xdr:colOff>333375</xdr:colOff>
      <xdr:row>3</xdr:row>
      <xdr:rowOff>66675</xdr:rowOff>
    </xdr:to>
    <xdr:sp macro="" textlink="">
      <xdr:nvSpPr>
        <xdr:cNvPr id="15" name="Up Arrow 14">
          <a:hlinkClick xmlns:r="http://schemas.openxmlformats.org/officeDocument/2006/relationships" r:id="rId9" tooltip="Back to top"/>
          <a:extLst>
            <a:ext uri="{FF2B5EF4-FFF2-40B4-BE49-F238E27FC236}">
              <a16:creationId xmlns:a16="http://schemas.microsoft.com/office/drawing/2014/main" id="{00000000-0008-0000-2A00-00000F000000}"/>
            </a:ext>
          </a:extLst>
        </xdr:cNvPr>
        <xdr:cNvSpPr/>
      </xdr:nvSpPr>
      <xdr:spPr>
        <a:xfrm>
          <a:off x="7705725" y="400050"/>
          <a:ext cx="409575"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266700</xdr:colOff>
      <xdr:row>1</xdr:row>
      <xdr:rowOff>114300</xdr:rowOff>
    </xdr:from>
    <xdr:to>
      <xdr:col>2</xdr:col>
      <xdr:colOff>874125</xdr:colOff>
      <xdr:row>3</xdr:row>
      <xdr:rowOff>57300</xdr:rowOff>
    </xdr:to>
    <xdr:sp macro="" textlink="">
      <xdr:nvSpPr>
        <xdr:cNvPr id="5" name="Rectangle à coins arrondis 4">
          <a:hlinkClick xmlns:r="http://schemas.openxmlformats.org/officeDocument/2006/relationships" r:id="rId1" tooltip="Back to Local Environment"/>
          <a:extLst>
            <a:ext uri="{FF2B5EF4-FFF2-40B4-BE49-F238E27FC236}">
              <a16:creationId xmlns:a16="http://schemas.microsoft.com/office/drawing/2014/main" id="{00000000-0008-0000-2B00-000005000000}"/>
            </a:ext>
          </a:extLst>
        </xdr:cNvPr>
        <xdr:cNvSpPr>
          <a:spLocks noChangeArrowheads="1"/>
        </xdr:cNvSpPr>
      </xdr:nvSpPr>
      <xdr:spPr bwMode="auto">
        <a:xfrm>
          <a:off x="266700" y="419100"/>
          <a:ext cx="216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2</xdr:col>
      <xdr:colOff>1123949</xdr:colOff>
      <xdr:row>1</xdr:row>
      <xdr:rowOff>123825</xdr:rowOff>
    </xdr:from>
    <xdr:to>
      <xdr:col>4</xdr:col>
      <xdr:colOff>466499</xdr:colOff>
      <xdr:row>3</xdr:row>
      <xdr:rowOff>66825</xdr:rowOff>
    </xdr:to>
    <xdr:sp macro="" textlink="">
      <xdr:nvSpPr>
        <xdr:cNvPr id="6" name="Rectangle à coins arrondis 2">
          <a:hlinkClick xmlns:r="http://schemas.openxmlformats.org/officeDocument/2006/relationships" r:id="rId2" tooltip="Scorecard"/>
          <a:extLst>
            <a:ext uri="{FF2B5EF4-FFF2-40B4-BE49-F238E27FC236}">
              <a16:creationId xmlns:a16="http://schemas.microsoft.com/office/drawing/2014/main" id="{00000000-0008-0000-2B00-000006000000}"/>
            </a:ext>
          </a:extLst>
        </xdr:cNvPr>
        <xdr:cNvSpPr>
          <a:spLocks noChangeArrowheads="1"/>
        </xdr:cNvSpPr>
      </xdr:nvSpPr>
      <xdr:spPr bwMode="auto">
        <a:xfrm>
          <a:off x="2676524" y="428625"/>
          <a:ext cx="180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876300</xdr:colOff>
      <xdr:row>1</xdr:row>
      <xdr:rowOff>152400</xdr:rowOff>
    </xdr:from>
    <xdr:to>
      <xdr:col>5</xdr:col>
      <xdr:colOff>655575</xdr:colOff>
      <xdr:row>3</xdr:row>
      <xdr:rowOff>59400</xdr:rowOff>
    </xdr:to>
    <xdr:sp macro="" textlink="">
      <xdr:nvSpPr>
        <xdr:cNvPr id="4" name="Rectangle à coins arrondis 2">
          <a:hlinkClick xmlns:r="http://schemas.openxmlformats.org/officeDocument/2006/relationships" r:id="rId3" tooltip="Strategy A"/>
          <a:extLst>
            <a:ext uri="{FF2B5EF4-FFF2-40B4-BE49-F238E27FC236}">
              <a16:creationId xmlns:a16="http://schemas.microsoft.com/office/drawing/2014/main" id="{00000000-0008-0000-2B00-000004000000}"/>
            </a:ext>
          </a:extLst>
        </xdr:cNvPr>
        <xdr:cNvSpPr>
          <a:spLocks noChangeArrowheads="1"/>
        </xdr:cNvSpPr>
      </xdr:nvSpPr>
      <xdr:spPr bwMode="auto">
        <a:xfrm>
          <a:off x="4886325" y="457200"/>
          <a:ext cx="1008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781050</xdr:colOff>
      <xdr:row>1</xdr:row>
      <xdr:rowOff>152400</xdr:rowOff>
    </xdr:from>
    <xdr:to>
      <xdr:col>6</xdr:col>
      <xdr:colOff>560325</xdr:colOff>
      <xdr:row>3</xdr:row>
      <xdr:rowOff>59400</xdr:rowOff>
    </xdr:to>
    <xdr:sp macro="" textlink="">
      <xdr:nvSpPr>
        <xdr:cNvPr id="7" name="Rectangle à coins arrondis 2">
          <a:hlinkClick xmlns:r="http://schemas.openxmlformats.org/officeDocument/2006/relationships" r:id="rId4" tooltip="Strategy B"/>
          <a:extLst>
            <a:ext uri="{FF2B5EF4-FFF2-40B4-BE49-F238E27FC236}">
              <a16:creationId xmlns:a16="http://schemas.microsoft.com/office/drawing/2014/main" id="{00000000-0008-0000-2B00-000007000000}"/>
            </a:ext>
          </a:extLst>
        </xdr:cNvPr>
        <xdr:cNvSpPr>
          <a:spLocks noChangeArrowheads="1"/>
        </xdr:cNvSpPr>
      </xdr:nvSpPr>
      <xdr:spPr bwMode="auto">
        <a:xfrm>
          <a:off x="6019800" y="457200"/>
          <a:ext cx="1008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editAs="oneCell">
    <xdr:from>
      <xdr:col>1</xdr:col>
      <xdr:colOff>0</xdr:colOff>
      <xdr:row>18</xdr:row>
      <xdr:rowOff>104775</xdr:rowOff>
    </xdr:from>
    <xdr:to>
      <xdr:col>1</xdr:col>
      <xdr:colOff>396000</xdr:colOff>
      <xdr:row>20</xdr:row>
      <xdr:rowOff>119775</xdr:rowOff>
    </xdr:to>
    <xdr:pic>
      <xdr:nvPicPr>
        <xdr:cNvPr id="8" name="Picture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3850" y="4381500"/>
          <a:ext cx="396000" cy="396000"/>
        </a:xfrm>
        <a:prstGeom prst="rect">
          <a:avLst/>
        </a:prstGeom>
      </xdr:spPr>
    </xdr:pic>
    <xdr:clientData/>
  </xdr:twoCellAnchor>
  <xdr:twoCellAnchor editAs="oneCell">
    <xdr:from>
      <xdr:col>1</xdr:col>
      <xdr:colOff>28575</xdr:colOff>
      <xdr:row>24</xdr:row>
      <xdr:rowOff>85725</xdr:rowOff>
    </xdr:from>
    <xdr:to>
      <xdr:col>1</xdr:col>
      <xdr:colOff>388575</xdr:colOff>
      <xdr:row>26</xdr:row>
      <xdr:rowOff>64725</xdr:rowOff>
    </xdr:to>
    <xdr:pic>
      <xdr:nvPicPr>
        <xdr:cNvPr id="9" name="Picture 8">
          <a:extLst>
            <a:ext uri="{FF2B5EF4-FFF2-40B4-BE49-F238E27FC236}">
              <a16:creationId xmlns:a16="http://schemas.microsoft.com/office/drawing/2014/main" id="{00000000-0008-0000-2B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5143500"/>
          <a:ext cx="360000" cy="360000"/>
        </a:xfrm>
        <a:prstGeom prst="rect">
          <a:avLst/>
        </a:prstGeom>
      </xdr:spPr>
    </xdr:pic>
    <xdr:clientData/>
  </xdr:twoCellAnchor>
  <xdr:twoCellAnchor editAs="oneCell">
    <xdr:from>
      <xdr:col>1</xdr:col>
      <xdr:colOff>0</xdr:colOff>
      <xdr:row>61</xdr:row>
      <xdr:rowOff>95250</xdr:rowOff>
    </xdr:from>
    <xdr:to>
      <xdr:col>1</xdr:col>
      <xdr:colOff>396000</xdr:colOff>
      <xdr:row>63</xdr:row>
      <xdr:rowOff>110250</xdr:rowOff>
    </xdr:to>
    <xdr:pic>
      <xdr:nvPicPr>
        <xdr:cNvPr id="10" name="Picture 9">
          <a:extLst>
            <a:ext uri="{FF2B5EF4-FFF2-40B4-BE49-F238E27FC236}">
              <a16:creationId xmlns:a16="http://schemas.microsoft.com/office/drawing/2014/main" id="{00000000-0008-0000-2B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3850" y="11058525"/>
          <a:ext cx="396000" cy="396000"/>
        </a:xfrm>
        <a:prstGeom prst="rect">
          <a:avLst/>
        </a:prstGeom>
      </xdr:spPr>
    </xdr:pic>
    <xdr:clientData/>
  </xdr:twoCellAnchor>
  <xdr:oneCellAnchor>
    <xdr:from>
      <xdr:col>1</xdr:col>
      <xdr:colOff>28575</xdr:colOff>
      <xdr:row>65</xdr:row>
      <xdr:rowOff>104775</xdr:rowOff>
    </xdr:from>
    <xdr:ext cx="360000" cy="360000"/>
    <xdr:pic>
      <xdr:nvPicPr>
        <xdr:cNvPr id="12" name="Picture 11">
          <a:extLst>
            <a:ext uri="{FF2B5EF4-FFF2-40B4-BE49-F238E27FC236}">
              <a16:creationId xmlns:a16="http://schemas.microsoft.com/office/drawing/2014/main" id="{00000000-0008-0000-2B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12182475"/>
          <a:ext cx="360000" cy="360000"/>
        </a:xfrm>
        <a:prstGeom prst="rect">
          <a:avLst/>
        </a:prstGeom>
      </xdr:spPr>
    </xdr:pic>
    <xdr:clientData/>
  </xdr:oneCellAnchor>
  <xdr:twoCellAnchor editAs="oneCell">
    <xdr:from>
      <xdr:col>1</xdr:col>
      <xdr:colOff>19050</xdr:colOff>
      <xdr:row>67</xdr:row>
      <xdr:rowOff>142875</xdr:rowOff>
    </xdr:from>
    <xdr:to>
      <xdr:col>1</xdr:col>
      <xdr:colOff>395765</xdr:colOff>
      <xdr:row>70</xdr:row>
      <xdr:rowOff>45675</xdr:rowOff>
    </xdr:to>
    <xdr:pic>
      <xdr:nvPicPr>
        <xdr:cNvPr id="13" name="Picture 12">
          <a:extLst>
            <a:ext uri="{FF2B5EF4-FFF2-40B4-BE49-F238E27FC236}">
              <a16:creationId xmlns:a16="http://schemas.microsoft.com/office/drawing/2014/main" id="{00000000-0008-0000-2B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14544675"/>
          <a:ext cx="376715" cy="360000"/>
        </a:xfrm>
        <a:prstGeom prst="rect">
          <a:avLst/>
        </a:prstGeom>
      </xdr:spPr>
    </xdr:pic>
    <xdr:clientData/>
  </xdr:twoCellAnchor>
  <xdr:twoCellAnchor editAs="oneCell">
    <xdr:from>
      <xdr:col>1</xdr:col>
      <xdr:colOff>9525</xdr:colOff>
      <xdr:row>20</xdr:row>
      <xdr:rowOff>152400</xdr:rowOff>
    </xdr:from>
    <xdr:to>
      <xdr:col>1</xdr:col>
      <xdr:colOff>386240</xdr:colOff>
      <xdr:row>22</xdr:row>
      <xdr:rowOff>93300</xdr:rowOff>
    </xdr:to>
    <xdr:pic>
      <xdr:nvPicPr>
        <xdr:cNvPr id="11" name="Picture 10">
          <a:extLst>
            <a:ext uri="{FF2B5EF4-FFF2-40B4-BE49-F238E27FC236}">
              <a16:creationId xmlns:a16="http://schemas.microsoft.com/office/drawing/2014/main" id="{00000000-0008-0000-2B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3375" y="5114925"/>
          <a:ext cx="376715" cy="360000"/>
        </a:xfrm>
        <a:prstGeom prst="rect">
          <a:avLst/>
        </a:prstGeom>
      </xdr:spPr>
    </xdr:pic>
    <xdr:clientData/>
  </xdr:twoCellAnchor>
  <xdr:twoCellAnchor>
    <xdr:from>
      <xdr:col>6</xdr:col>
      <xdr:colOff>742950</xdr:colOff>
      <xdr:row>1</xdr:row>
      <xdr:rowOff>95250</xdr:rowOff>
    </xdr:from>
    <xdr:to>
      <xdr:col>6</xdr:col>
      <xdr:colOff>1143000</xdr:colOff>
      <xdr:row>3</xdr:row>
      <xdr:rowOff>66675</xdr:rowOff>
    </xdr:to>
    <xdr:sp macro="" textlink="">
      <xdr:nvSpPr>
        <xdr:cNvPr id="14" name="Up Arrow 13">
          <a:hlinkClick xmlns:r="http://schemas.openxmlformats.org/officeDocument/2006/relationships" r:id="rId8" tooltip="Back to top"/>
          <a:extLst>
            <a:ext uri="{FF2B5EF4-FFF2-40B4-BE49-F238E27FC236}">
              <a16:creationId xmlns:a16="http://schemas.microsoft.com/office/drawing/2014/main" id="{00000000-0008-0000-2B00-00000E000000}"/>
            </a:ext>
          </a:extLst>
        </xdr:cNvPr>
        <xdr:cNvSpPr/>
      </xdr:nvSpPr>
      <xdr:spPr>
        <a:xfrm>
          <a:off x="7210425" y="400050"/>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219075</xdr:colOff>
      <xdr:row>1</xdr:row>
      <xdr:rowOff>123825</xdr:rowOff>
    </xdr:from>
    <xdr:to>
      <xdr:col>2</xdr:col>
      <xdr:colOff>872025</xdr:colOff>
      <xdr:row>3</xdr:row>
      <xdr:rowOff>66825</xdr:rowOff>
    </xdr:to>
    <xdr:sp macro="" textlink="">
      <xdr:nvSpPr>
        <xdr:cNvPr id="5" name="Rectangle à coins arrondis 4">
          <a:hlinkClick xmlns:r="http://schemas.openxmlformats.org/officeDocument/2006/relationships" r:id="rId1" tooltip="Back to Local Environment"/>
          <a:extLst>
            <a:ext uri="{FF2B5EF4-FFF2-40B4-BE49-F238E27FC236}">
              <a16:creationId xmlns:a16="http://schemas.microsoft.com/office/drawing/2014/main" id="{00000000-0008-0000-2C00-000005000000}"/>
            </a:ext>
          </a:extLst>
        </xdr:cNvPr>
        <xdr:cNvSpPr>
          <a:spLocks noChangeArrowheads="1"/>
        </xdr:cNvSpPr>
      </xdr:nvSpPr>
      <xdr:spPr bwMode="auto">
        <a:xfrm>
          <a:off x="219075" y="438150"/>
          <a:ext cx="2196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2</xdr:col>
      <xdr:colOff>1323974</xdr:colOff>
      <xdr:row>1</xdr:row>
      <xdr:rowOff>123825</xdr:rowOff>
    </xdr:from>
    <xdr:to>
      <xdr:col>4</xdr:col>
      <xdr:colOff>569324</xdr:colOff>
      <xdr:row>3</xdr:row>
      <xdr:rowOff>66825</xdr:rowOff>
    </xdr:to>
    <xdr:sp macro="" textlink="">
      <xdr:nvSpPr>
        <xdr:cNvPr id="6" name="Rectangle à coins arrondis 2">
          <a:hlinkClick xmlns:r="http://schemas.openxmlformats.org/officeDocument/2006/relationships" r:id="rId2" tooltip="Scorecard"/>
          <a:extLst>
            <a:ext uri="{FF2B5EF4-FFF2-40B4-BE49-F238E27FC236}">
              <a16:creationId xmlns:a16="http://schemas.microsoft.com/office/drawing/2014/main" id="{00000000-0008-0000-2C00-000006000000}"/>
            </a:ext>
          </a:extLst>
        </xdr:cNvPr>
        <xdr:cNvSpPr>
          <a:spLocks noChangeArrowheads="1"/>
        </xdr:cNvSpPr>
      </xdr:nvSpPr>
      <xdr:spPr bwMode="auto">
        <a:xfrm>
          <a:off x="2867024" y="4381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47625</xdr:colOff>
      <xdr:row>14</xdr:row>
      <xdr:rowOff>57150</xdr:rowOff>
    </xdr:from>
    <xdr:ext cx="396000" cy="396000"/>
    <xdr:pic>
      <xdr:nvPicPr>
        <xdr:cNvPr id="4" name="Picture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225" y="3238500"/>
          <a:ext cx="396000" cy="396000"/>
        </a:xfrm>
        <a:prstGeom prst="rect">
          <a:avLst/>
        </a:prstGeom>
      </xdr:spPr>
    </xdr:pic>
    <xdr:clientData/>
  </xdr:oneCellAnchor>
  <xdr:oneCellAnchor>
    <xdr:from>
      <xdr:col>1</xdr:col>
      <xdr:colOff>47625</xdr:colOff>
      <xdr:row>18</xdr:row>
      <xdr:rowOff>9525</xdr:rowOff>
    </xdr:from>
    <xdr:ext cx="432000" cy="432000"/>
    <xdr:pic>
      <xdr:nvPicPr>
        <xdr:cNvPr id="7" name="Picture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225" y="3914775"/>
          <a:ext cx="432000" cy="432000"/>
        </a:xfrm>
        <a:prstGeom prst="rect">
          <a:avLst/>
        </a:prstGeom>
      </xdr:spPr>
    </xdr:pic>
    <xdr:clientData/>
  </xdr:oneCellAnchor>
  <xdr:oneCellAnchor>
    <xdr:from>
      <xdr:col>1</xdr:col>
      <xdr:colOff>47625</xdr:colOff>
      <xdr:row>23</xdr:row>
      <xdr:rowOff>76200</xdr:rowOff>
    </xdr:from>
    <xdr:ext cx="432000" cy="432000"/>
    <xdr:pic>
      <xdr:nvPicPr>
        <xdr:cNvPr id="8" name="Picture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225" y="4886325"/>
          <a:ext cx="432000" cy="432000"/>
        </a:xfrm>
        <a:prstGeom prst="rect">
          <a:avLst/>
        </a:prstGeom>
      </xdr:spPr>
    </xdr:pic>
    <xdr:clientData/>
  </xdr:oneCellAnchor>
  <xdr:oneCellAnchor>
    <xdr:from>
      <xdr:col>1</xdr:col>
      <xdr:colOff>47625</xdr:colOff>
      <xdr:row>29</xdr:row>
      <xdr:rowOff>114300</xdr:rowOff>
    </xdr:from>
    <xdr:ext cx="360000" cy="360000"/>
    <xdr:pic>
      <xdr:nvPicPr>
        <xdr:cNvPr id="9" name="Picture 8">
          <a:extLst>
            <a:ext uri="{FF2B5EF4-FFF2-40B4-BE49-F238E27FC236}">
              <a16:creationId xmlns:a16="http://schemas.microsoft.com/office/drawing/2014/main" id="{00000000-0008-0000-2C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6143625"/>
          <a:ext cx="360000" cy="360000"/>
        </a:xfrm>
        <a:prstGeom prst="rect">
          <a:avLst/>
        </a:prstGeom>
      </xdr:spPr>
    </xdr:pic>
    <xdr:clientData/>
  </xdr:oneCellAnchor>
  <xdr:twoCellAnchor editAs="oneCell">
    <xdr:from>
      <xdr:col>1</xdr:col>
      <xdr:colOff>38100</xdr:colOff>
      <xdr:row>31</xdr:row>
      <xdr:rowOff>123825</xdr:rowOff>
    </xdr:from>
    <xdr:to>
      <xdr:col>1</xdr:col>
      <xdr:colOff>414815</xdr:colOff>
      <xdr:row>33</xdr:row>
      <xdr:rowOff>102825</xdr:rowOff>
    </xdr:to>
    <xdr:pic>
      <xdr:nvPicPr>
        <xdr:cNvPr id="10" name="Picture 9">
          <a:extLst>
            <a:ext uri="{FF2B5EF4-FFF2-40B4-BE49-F238E27FC236}">
              <a16:creationId xmlns:a16="http://schemas.microsoft.com/office/drawing/2014/main" id="{00000000-0008-0000-2C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6700" y="6534150"/>
          <a:ext cx="376715" cy="360000"/>
        </a:xfrm>
        <a:prstGeom prst="rect">
          <a:avLst/>
        </a:prstGeom>
      </xdr:spPr>
    </xdr:pic>
    <xdr:clientData/>
  </xdr:twoCellAnchor>
  <xdr:twoCellAnchor>
    <xdr:from>
      <xdr:col>7</xdr:col>
      <xdr:colOff>228600</xdr:colOff>
      <xdr:row>49</xdr:row>
      <xdr:rowOff>66675</xdr:rowOff>
    </xdr:from>
    <xdr:to>
      <xdr:col>9</xdr:col>
      <xdr:colOff>428625</xdr:colOff>
      <xdr:row>52</xdr:row>
      <xdr:rowOff>57151</xdr:rowOff>
    </xdr:to>
    <xdr:sp macro="" textlink="">
      <xdr:nvSpPr>
        <xdr:cNvPr id="11" name="Rectangle à coins arrondis 2">
          <a:hlinkClick xmlns:r="http://schemas.openxmlformats.org/officeDocument/2006/relationships" r:id="rId6" tooltip="Resources"/>
          <a:extLst>
            <a:ext uri="{FF2B5EF4-FFF2-40B4-BE49-F238E27FC236}">
              <a16:creationId xmlns:a16="http://schemas.microsoft.com/office/drawing/2014/main" id="{00000000-0008-0000-2C00-00000B000000}"/>
            </a:ext>
          </a:extLst>
        </xdr:cNvPr>
        <xdr:cNvSpPr>
          <a:spLocks noChangeArrowheads="1"/>
        </xdr:cNvSpPr>
      </xdr:nvSpPr>
      <xdr:spPr bwMode="auto">
        <a:xfrm>
          <a:off x="8639175" y="10001250"/>
          <a:ext cx="2095500" cy="466726"/>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find example values for SRI</a:t>
          </a:r>
        </a:p>
      </xdr:txBody>
    </xdr:sp>
    <xdr:clientData/>
  </xdr:twoCellAnchor>
  <xdr:twoCellAnchor>
    <xdr:from>
      <xdr:col>6</xdr:col>
      <xdr:colOff>790575</xdr:colOff>
      <xdr:row>1</xdr:row>
      <xdr:rowOff>95250</xdr:rowOff>
    </xdr:from>
    <xdr:to>
      <xdr:col>6</xdr:col>
      <xdr:colOff>1190625</xdr:colOff>
      <xdr:row>3</xdr:row>
      <xdr:rowOff>66675</xdr:rowOff>
    </xdr:to>
    <xdr:sp macro="" textlink="">
      <xdr:nvSpPr>
        <xdr:cNvPr id="13" name="Up Arrow 12">
          <a:hlinkClick xmlns:r="http://schemas.openxmlformats.org/officeDocument/2006/relationships" r:id="rId7" tooltip="Back to top"/>
          <a:extLst>
            <a:ext uri="{FF2B5EF4-FFF2-40B4-BE49-F238E27FC236}">
              <a16:creationId xmlns:a16="http://schemas.microsoft.com/office/drawing/2014/main" id="{00000000-0008-0000-2C00-00000D000000}"/>
            </a:ext>
          </a:extLst>
        </xdr:cNvPr>
        <xdr:cNvSpPr/>
      </xdr:nvSpPr>
      <xdr:spPr>
        <a:xfrm>
          <a:off x="7258050" y="400050"/>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7</xdr:col>
      <xdr:colOff>485775</xdr:colOff>
      <xdr:row>37</xdr:row>
      <xdr:rowOff>19049</xdr:rowOff>
    </xdr:from>
    <xdr:to>
      <xdr:col>10</xdr:col>
      <xdr:colOff>171450</xdr:colOff>
      <xdr:row>39</xdr:row>
      <xdr:rowOff>104775</xdr:rowOff>
    </xdr:to>
    <xdr:sp macro="" textlink="">
      <xdr:nvSpPr>
        <xdr:cNvPr id="7" name="Rectangle à coins arrondis 2">
          <a:hlinkClick xmlns:r="http://schemas.openxmlformats.org/officeDocument/2006/relationships" r:id="rId1" tooltip="Resources"/>
          <a:extLst>
            <a:ext uri="{FF2B5EF4-FFF2-40B4-BE49-F238E27FC236}">
              <a16:creationId xmlns:a16="http://schemas.microsoft.com/office/drawing/2014/main" id="{00000000-0008-0000-2D00-000007000000}"/>
            </a:ext>
          </a:extLst>
        </xdr:cNvPr>
        <xdr:cNvSpPr>
          <a:spLocks noChangeArrowheads="1"/>
        </xdr:cNvSpPr>
      </xdr:nvSpPr>
      <xdr:spPr bwMode="auto">
        <a:xfrm>
          <a:off x="8172450" y="7753349"/>
          <a:ext cx="2095500" cy="619126"/>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find recommended values for Runoff coefficient</a:t>
          </a:r>
        </a:p>
      </xdr:txBody>
    </xdr:sp>
    <xdr:clientData/>
  </xdr:twoCellAnchor>
  <xdr:twoCellAnchor>
    <xdr:from>
      <xdr:col>0</xdr:col>
      <xdr:colOff>209550</xdr:colOff>
      <xdr:row>1</xdr:row>
      <xdr:rowOff>123825</xdr:rowOff>
    </xdr:from>
    <xdr:to>
      <xdr:col>2</xdr:col>
      <xdr:colOff>826500</xdr:colOff>
      <xdr:row>3</xdr:row>
      <xdr:rowOff>66825</xdr:rowOff>
    </xdr:to>
    <xdr:sp macro="" textlink="">
      <xdr:nvSpPr>
        <xdr:cNvPr id="6" name="Rectangle à coins arrondis 5">
          <a:hlinkClick xmlns:r="http://schemas.openxmlformats.org/officeDocument/2006/relationships" r:id="rId2" tooltip="Back to Local Environment"/>
          <a:extLst>
            <a:ext uri="{FF2B5EF4-FFF2-40B4-BE49-F238E27FC236}">
              <a16:creationId xmlns:a16="http://schemas.microsoft.com/office/drawing/2014/main" id="{00000000-0008-0000-2D00-000006000000}"/>
            </a:ext>
          </a:extLst>
        </xdr:cNvPr>
        <xdr:cNvSpPr>
          <a:spLocks noChangeArrowheads="1"/>
        </xdr:cNvSpPr>
      </xdr:nvSpPr>
      <xdr:spPr bwMode="auto">
        <a:xfrm>
          <a:off x="209550" y="419100"/>
          <a:ext cx="216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390524</xdr:colOff>
      <xdr:row>1</xdr:row>
      <xdr:rowOff>133350</xdr:rowOff>
    </xdr:from>
    <xdr:to>
      <xdr:col>4</xdr:col>
      <xdr:colOff>1169399</xdr:colOff>
      <xdr:row>3</xdr:row>
      <xdr:rowOff>76350</xdr:rowOff>
    </xdr:to>
    <xdr:sp macro="" textlink="">
      <xdr:nvSpPr>
        <xdr:cNvPr id="8" name="Rectangle à coins arrondis 2">
          <a:hlinkClick xmlns:r="http://schemas.openxmlformats.org/officeDocument/2006/relationships" r:id="rId3" tooltip="Scorecard"/>
          <a:extLst>
            <a:ext uri="{FF2B5EF4-FFF2-40B4-BE49-F238E27FC236}">
              <a16:creationId xmlns:a16="http://schemas.microsoft.com/office/drawing/2014/main" id="{00000000-0008-0000-2D00-000008000000}"/>
            </a:ext>
          </a:extLst>
        </xdr:cNvPr>
        <xdr:cNvSpPr>
          <a:spLocks noChangeArrowheads="1"/>
        </xdr:cNvSpPr>
      </xdr:nvSpPr>
      <xdr:spPr bwMode="auto">
        <a:xfrm>
          <a:off x="2819399" y="42862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28575</xdr:colOff>
      <xdr:row>28</xdr:row>
      <xdr:rowOff>114300</xdr:rowOff>
    </xdr:from>
    <xdr:to>
      <xdr:col>1</xdr:col>
      <xdr:colOff>405290</xdr:colOff>
      <xdr:row>30</xdr:row>
      <xdr:rowOff>93300</xdr:rowOff>
    </xdr:to>
    <xdr:pic>
      <xdr:nvPicPr>
        <xdr:cNvPr id="9" name="Picture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5" y="6038850"/>
          <a:ext cx="376715" cy="360000"/>
        </a:xfrm>
        <a:prstGeom prst="rect">
          <a:avLst/>
        </a:prstGeom>
      </xdr:spPr>
    </xdr:pic>
    <xdr:clientData/>
  </xdr:twoCellAnchor>
  <xdr:oneCellAnchor>
    <xdr:from>
      <xdr:col>1</xdr:col>
      <xdr:colOff>19050</xdr:colOff>
      <xdr:row>14</xdr:row>
      <xdr:rowOff>95250</xdr:rowOff>
    </xdr:from>
    <xdr:ext cx="396000" cy="396000"/>
    <xdr:pic>
      <xdr:nvPicPr>
        <xdr:cNvPr id="11" name="Picture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650" y="3257550"/>
          <a:ext cx="396000" cy="396000"/>
        </a:xfrm>
        <a:prstGeom prst="rect">
          <a:avLst/>
        </a:prstGeom>
      </xdr:spPr>
    </xdr:pic>
    <xdr:clientData/>
  </xdr:oneCellAnchor>
  <xdr:twoCellAnchor editAs="oneCell">
    <xdr:from>
      <xdr:col>1</xdr:col>
      <xdr:colOff>38100</xdr:colOff>
      <xdr:row>19</xdr:row>
      <xdr:rowOff>19050</xdr:rowOff>
    </xdr:from>
    <xdr:to>
      <xdr:col>1</xdr:col>
      <xdr:colOff>578100</xdr:colOff>
      <xdr:row>21</xdr:row>
      <xdr:rowOff>178050</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6700" y="4095750"/>
          <a:ext cx="540000" cy="540000"/>
        </a:xfrm>
        <a:prstGeom prst="rect">
          <a:avLst/>
        </a:prstGeom>
      </xdr:spPr>
    </xdr:pic>
    <xdr:clientData/>
  </xdr:twoCellAnchor>
  <xdr:oneCellAnchor>
    <xdr:from>
      <xdr:col>1</xdr:col>
      <xdr:colOff>28575</xdr:colOff>
      <xdr:row>26</xdr:row>
      <xdr:rowOff>114300</xdr:rowOff>
    </xdr:from>
    <xdr:ext cx="360000" cy="360000"/>
    <xdr:pic>
      <xdr:nvPicPr>
        <xdr:cNvPr id="12" name="Picture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57175" y="5657850"/>
          <a:ext cx="360000" cy="360000"/>
        </a:xfrm>
        <a:prstGeom prst="rect">
          <a:avLst/>
        </a:prstGeom>
      </xdr:spPr>
    </xdr:pic>
    <xdr:clientData/>
  </xdr:oneCellAnchor>
  <xdr:twoCellAnchor>
    <xdr:from>
      <xdr:col>6</xdr:col>
      <xdr:colOff>762000</xdr:colOff>
      <xdr:row>1</xdr:row>
      <xdr:rowOff>95250</xdr:rowOff>
    </xdr:from>
    <xdr:to>
      <xdr:col>6</xdr:col>
      <xdr:colOff>1162050</xdr:colOff>
      <xdr:row>3</xdr:row>
      <xdr:rowOff>66675</xdr:rowOff>
    </xdr:to>
    <xdr:sp macro="" textlink="">
      <xdr:nvSpPr>
        <xdr:cNvPr id="10" name="Up Arrow 9">
          <a:hlinkClick xmlns:r="http://schemas.openxmlformats.org/officeDocument/2006/relationships" r:id="rId8" tooltip="Back to top"/>
          <a:extLst>
            <a:ext uri="{FF2B5EF4-FFF2-40B4-BE49-F238E27FC236}">
              <a16:creationId xmlns:a16="http://schemas.microsoft.com/office/drawing/2014/main" id="{00000000-0008-0000-2D00-00000A000000}"/>
            </a:ext>
          </a:extLst>
        </xdr:cNvPr>
        <xdr:cNvSpPr/>
      </xdr:nvSpPr>
      <xdr:spPr>
        <a:xfrm>
          <a:off x="7200900" y="390525"/>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238125</xdr:colOff>
      <xdr:row>1</xdr:row>
      <xdr:rowOff>123825</xdr:rowOff>
    </xdr:from>
    <xdr:to>
      <xdr:col>2</xdr:col>
      <xdr:colOff>1035075</xdr:colOff>
      <xdr:row>3</xdr:row>
      <xdr:rowOff>66825</xdr:rowOff>
    </xdr:to>
    <xdr:sp macro="" textlink="">
      <xdr:nvSpPr>
        <xdr:cNvPr id="4" name="Rectangle à coins arrondis 3">
          <a:hlinkClick xmlns:r="http://schemas.openxmlformats.org/officeDocument/2006/relationships" r:id="rId1" tooltip="Back to Local Environment"/>
          <a:extLst>
            <a:ext uri="{FF2B5EF4-FFF2-40B4-BE49-F238E27FC236}">
              <a16:creationId xmlns:a16="http://schemas.microsoft.com/office/drawing/2014/main" id="{00000000-0008-0000-2E00-000004000000}"/>
            </a:ext>
          </a:extLst>
        </xdr:cNvPr>
        <xdr:cNvSpPr>
          <a:spLocks noChangeArrowheads="1"/>
        </xdr:cNvSpPr>
      </xdr:nvSpPr>
      <xdr:spPr bwMode="auto">
        <a:xfrm>
          <a:off x="238125" y="428625"/>
          <a:ext cx="234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342898</xdr:colOff>
      <xdr:row>1</xdr:row>
      <xdr:rowOff>123825</xdr:rowOff>
    </xdr:from>
    <xdr:to>
      <xdr:col>5</xdr:col>
      <xdr:colOff>45448</xdr:colOff>
      <xdr:row>3</xdr:row>
      <xdr:rowOff>66825</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2E00-000005000000}"/>
            </a:ext>
          </a:extLst>
        </xdr:cNvPr>
        <xdr:cNvSpPr>
          <a:spLocks noChangeArrowheads="1"/>
        </xdr:cNvSpPr>
      </xdr:nvSpPr>
      <xdr:spPr bwMode="auto">
        <a:xfrm>
          <a:off x="3114673" y="42862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28575</xdr:colOff>
      <xdr:row>20</xdr:row>
      <xdr:rowOff>114300</xdr:rowOff>
    </xdr:from>
    <xdr:ext cx="360000" cy="360000"/>
    <xdr:pic>
      <xdr:nvPicPr>
        <xdr:cNvPr id="6" name="Picture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575" y="4543425"/>
          <a:ext cx="360000" cy="360000"/>
        </a:xfrm>
        <a:prstGeom prst="rect">
          <a:avLst/>
        </a:prstGeom>
      </xdr:spPr>
    </xdr:pic>
    <xdr:clientData/>
  </xdr:oneCellAnchor>
  <xdr:oneCellAnchor>
    <xdr:from>
      <xdr:col>1</xdr:col>
      <xdr:colOff>28575</xdr:colOff>
      <xdr:row>27</xdr:row>
      <xdr:rowOff>142875</xdr:rowOff>
    </xdr:from>
    <xdr:ext cx="360000" cy="360000"/>
    <xdr:pic>
      <xdr:nvPicPr>
        <xdr:cNvPr id="7" name="Picture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900" y="6019800"/>
          <a:ext cx="360000" cy="360000"/>
        </a:xfrm>
        <a:prstGeom prst="rect">
          <a:avLst/>
        </a:prstGeom>
      </xdr:spPr>
    </xdr:pic>
    <xdr:clientData/>
  </xdr:oneCellAnchor>
  <xdr:oneCellAnchor>
    <xdr:from>
      <xdr:col>1</xdr:col>
      <xdr:colOff>0</xdr:colOff>
      <xdr:row>14</xdr:row>
      <xdr:rowOff>95250</xdr:rowOff>
    </xdr:from>
    <xdr:ext cx="396000" cy="396000"/>
    <xdr:pic>
      <xdr:nvPicPr>
        <xdr:cNvPr id="8" name="Picture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3438525"/>
          <a:ext cx="396000" cy="396000"/>
        </a:xfrm>
        <a:prstGeom prst="rect">
          <a:avLst/>
        </a:prstGeom>
      </xdr:spPr>
    </xdr:pic>
    <xdr:clientData/>
  </xdr:oneCellAnchor>
  <xdr:oneCellAnchor>
    <xdr:from>
      <xdr:col>1</xdr:col>
      <xdr:colOff>95250</xdr:colOff>
      <xdr:row>17</xdr:row>
      <xdr:rowOff>85725</xdr:rowOff>
    </xdr:from>
    <xdr:ext cx="396000" cy="396000"/>
    <xdr:pic>
      <xdr:nvPicPr>
        <xdr:cNvPr id="9" name="Picture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5" y="4000500"/>
          <a:ext cx="396000" cy="396000"/>
        </a:xfrm>
        <a:prstGeom prst="rect">
          <a:avLst/>
        </a:prstGeom>
      </xdr:spPr>
    </xdr:pic>
    <xdr:clientData/>
  </xdr:oneCellAnchor>
  <xdr:oneCellAnchor>
    <xdr:from>
      <xdr:col>1</xdr:col>
      <xdr:colOff>19050</xdr:colOff>
      <xdr:row>25</xdr:row>
      <xdr:rowOff>133350</xdr:rowOff>
    </xdr:from>
    <xdr:ext cx="396000" cy="396000"/>
    <xdr:pic>
      <xdr:nvPicPr>
        <xdr:cNvPr id="12" name="Picture 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375" y="5572125"/>
          <a:ext cx="396000" cy="396000"/>
        </a:xfrm>
        <a:prstGeom prst="rect">
          <a:avLst/>
        </a:prstGeom>
      </xdr:spPr>
    </xdr:pic>
    <xdr:clientData/>
  </xdr:oneCellAnchor>
  <xdr:twoCellAnchor>
    <xdr:from>
      <xdr:col>6</xdr:col>
      <xdr:colOff>723900</xdr:colOff>
      <xdr:row>1</xdr:row>
      <xdr:rowOff>95250</xdr:rowOff>
    </xdr:from>
    <xdr:to>
      <xdr:col>6</xdr:col>
      <xdr:colOff>1123950</xdr:colOff>
      <xdr:row>3</xdr:row>
      <xdr:rowOff>66675</xdr:rowOff>
    </xdr:to>
    <xdr:sp macro="" textlink="">
      <xdr:nvSpPr>
        <xdr:cNvPr id="13" name="Up Arrow 12">
          <a:hlinkClick xmlns:r="http://schemas.openxmlformats.org/officeDocument/2006/relationships" r:id="rId5" tooltip="Back to top"/>
          <a:extLst>
            <a:ext uri="{FF2B5EF4-FFF2-40B4-BE49-F238E27FC236}">
              <a16:creationId xmlns:a16="http://schemas.microsoft.com/office/drawing/2014/main" id="{00000000-0008-0000-2E00-00000D000000}"/>
            </a:ext>
          </a:extLst>
        </xdr:cNvPr>
        <xdr:cNvSpPr/>
      </xdr:nvSpPr>
      <xdr:spPr>
        <a:xfrm>
          <a:off x="7181850" y="400050"/>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209550</xdr:colOff>
      <xdr:row>1</xdr:row>
      <xdr:rowOff>114300</xdr:rowOff>
    </xdr:from>
    <xdr:to>
      <xdr:col>2</xdr:col>
      <xdr:colOff>1006500</xdr:colOff>
      <xdr:row>3</xdr:row>
      <xdr:rowOff>57300</xdr:rowOff>
    </xdr:to>
    <xdr:sp macro="" textlink="">
      <xdr:nvSpPr>
        <xdr:cNvPr id="4" name="Rectangle à coins arrondis 3">
          <a:hlinkClick xmlns:r="http://schemas.openxmlformats.org/officeDocument/2006/relationships" r:id="rId1" tooltip="Back to Local Environment"/>
          <a:extLst>
            <a:ext uri="{FF2B5EF4-FFF2-40B4-BE49-F238E27FC236}">
              <a16:creationId xmlns:a16="http://schemas.microsoft.com/office/drawing/2014/main" id="{00000000-0008-0000-2F00-000004000000}"/>
            </a:ext>
          </a:extLst>
        </xdr:cNvPr>
        <xdr:cNvSpPr>
          <a:spLocks noChangeArrowheads="1"/>
        </xdr:cNvSpPr>
      </xdr:nvSpPr>
      <xdr:spPr bwMode="auto">
        <a:xfrm>
          <a:off x="209550" y="419100"/>
          <a:ext cx="234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247648</xdr:colOff>
      <xdr:row>1</xdr:row>
      <xdr:rowOff>114300</xdr:rowOff>
    </xdr:from>
    <xdr:to>
      <xdr:col>5</xdr:col>
      <xdr:colOff>235948</xdr:colOff>
      <xdr:row>3</xdr:row>
      <xdr:rowOff>57300</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2F00-000005000000}"/>
            </a:ext>
          </a:extLst>
        </xdr:cNvPr>
        <xdr:cNvSpPr>
          <a:spLocks noChangeArrowheads="1"/>
        </xdr:cNvSpPr>
      </xdr:nvSpPr>
      <xdr:spPr bwMode="auto">
        <a:xfrm>
          <a:off x="3019423" y="4191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0</xdr:colOff>
      <xdr:row>21</xdr:row>
      <xdr:rowOff>104775</xdr:rowOff>
    </xdr:from>
    <xdr:ext cx="396000" cy="396000"/>
    <xdr:pic>
      <xdr:nvPicPr>
        <xdr:cNvPr id="10" name="Picture 9">
          <a:extLst>
            <a:ext uri="{FF2B5EF4-FFF2-40B4-BE49-F238E27FC236}">
              <a16:creationId xmlns:a16="http://schemas.microsoft.com/office/drawing/2014/main" id="{00000000-0008-0000-2F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0525" y="3400425"/>
          <a:ext cx="396000" cy="396000"/>
        </a:xfrm>
        <a:prstGeom prst="rect">
          <a:avLst/>
        </a:prstGeom>
      </xdr:spPr>
    </xdr:pic>
    <xdr:clientData/>
  </xdr:oneCellAnchor>
  <xdr:oneCellAnchor>
    <xdr:from>
      <xdr:col>1</xdr:col>
      <xdr:colOff>28575</xdr:colOff>
      <xdr:row>26</xdr:row>
      <xdr:rowOff>142875</xdr:rowOff>
    </xdr:from>
    <xdr:ext cx="360000" cy="360000"/>
    <xdr:pic>
      <xdr:nvPicPr>
        <xdr:cNvPr id="11" name="Picture 10">
          <a:extLst>
            <a:ext uri="{FF2B5EF4-FFF2-40B4-BE49-F238E27FC236}">
              <a16:creationId xmlns:a16="http://schemas.microsoft.com/office/drawing/2014/main" id="{00000000-0008-0000-2F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4257675"/>
          <a:ext cx="360000" cy="360000"/>
        </a:xfrm>
        <a:prstGeom prst="rect">
          <a:avLst/>
        </a:prstGeom>
      </xdr:spPr>
    </xdr:pic>
    <xdr:clientData/>
  </xdr:oneCellAnchor>
  <xdr:twoCellAnchor>
    <xdr:from>
      <xdr:col>8</xdr:col>
      <xdr:colOff>466726</xdr:colOff>
      <xdr:row>1</xdr:row>
      <xdr:rowOff>95250</xdr:rowOff>
    </xdr:from>
    <xdr:to>
      <xdr:col>8</xdr:col>
      <xdr:colOff>866776</xdr:colOff>
      <xdr:row>3</xdr:row>
      <xdr:rowOff>66675</xdr:rowOff>
    </xdr:to>
    <xdr:sp macro="" textlink="">
      <xdr:nvSpPr>
        <xdr:cNvPr id="13" name="Up Arrow 12">
          <a:hlinkClick xmlns:r="http://schemas.openxmlformats.org/officeDocument/2006/relationships" r:id="rId5" tooltip="Back to top"/>
          <a:extLst>
            <a:ext uri="{FF2B5EF4-FFF2-40B4-BE49-F238E27FC236}">
              <a16:creationId xmlns:a16="http://schemas.microsoft.com/office/drawing/2014/main" id="{00000000-0008-0000-2F00-00000D000000}"/>
            </a:ext>
          </a:extLst>
        </xdr:cNvPr>
        <xdr:cNvSpPr/>
      </xdr:nvSpPr>
      <xdr:spPr>
        <a:xfrm>
          <a:off x="8781491" y="397809"/>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oneCellAnchor>
    <xdr:from>
      <xdr:col>1</xdr:col>
      <xdr:colOff>11206</xdr:colOff>
      <xdr:row>48</xdr:row>
      <xdr:rowOff>77881</xdr:rowOff>
    </xdr:from>
    <xdr:ext cx="396000" cy="396000"/>
    <xdr:pic>
      <xdr:nvPicPr>
        <xdr:cNvPr id="20" name="Picture 19">
          <a:extLst>
            <a:ext uri="{FF2B5EF4-FFF2-40B4-BE49-F238E27FC236}">
              <a16:creationId xmlns:a16="http://schemas.microsoft.com/office/drawing/2014/main" id="{00000000-0008-0000-2F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4971" y="10779499"/>
          <a:ext cx="396000" cy="396000"/>
        </a:xfrm>
        <a:prstGeom prst="rect">
          <a:avLst/>
        </a:prstGeom>
      </xdr:spPr>
    </xdr:pic>
    <xdr:clientData/>
  </xdr:oneCellAnchor>
  <xdr:twoCellAnchor>
    <xdr:from>
      <xdr:col>6</xdr:col>
      <xdr:colOff>322728</xdr:colOff>
      <xdr:row>5</xdr:row>
      <xdr:rowOff>114300</xdr:rowOff>
    </xdr:from>
    <xdr:to>
      <xdr:col>7</xdr:col>
      <xdr:colOff>653345</xdr:colOff>
      <xdr:row>6</xdr:row>
      <xdr:rowOff>116550</xdr:rowOff>
    </xdr:to>
    <xdr:sp macro="" textlink="">
      <xdr:nvSpPr>
        <xdr:cNvPr id="23" name="Rectangle à coins arrondis 2">
          <a:hlinkClick xmlns:r="http://schemas.openxmlformats.org/officeDocument/2006/relationships" r:id="rId6" tooltip="Prescriptive Path"/>
          <a:extLst>
            <a:ext uri="{FF2B5EF4-FFF2-40B4-BE49-F238E27FC236}">
              <a16:creationId xmlns:a16="http://schemas.microsoft.com/office/drawing/2014/main" id="{00000000-0008-0000-2F00-000017000000}"/>
            </a:ext>
          </a:extLst>
        </xdr:cNvPr>
        <xdr:cNvSpPr>
          <a:spLocks noChangeArrowheads="1"/>
        </xdr:cNvSpPr>
      </xdr:nvSpPr>
      <xdr:spPr bwMode="auto">
        <a:xfrm>
          <a:off x="6380628" y="1276350"/>
          <a:ext cx="1445042" cy="28800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7</xdr:col>
      <xdr:colOff>847721</xdr:colOff>
      <xdr:row>5</xdr:row>
      <xdr:rowOff>104775</xdr:rowOff>
    </xdr:from>
    <xdr:to>
      <xdr:col>8</xdr:col>
      <xdr:colOff>1133515</xdr:colOff>
      <xdr:row>6</xdr:row>
      <xdr:rowOff>107025</xdr:rowOff>
    </xdr:to>
    <xdr:sp macro="" textlink="">
      <xdr:nvSpPr>
        <xdr:cNvPr id="24" name="Rectangle à coins arrondis 2">
          <a:hlinkClick xmlns:r="http://schemas.openxmlformats.org/officeDocument/2006/relationships" r:id="rId7" tooltip="Performance Path"/>
          <a:extLst>
            <a:ext uri="{FF2B5EF4-FFF2-40B4-BE49-F238E27FC236}">
              <a16:creationId xmlns:a16="http://schemas.microsoft.com/office/drawing/2014/main" id="{00000000-0008-0000-2F00-000018000000}"/>
            </a:ext>
          </a:extLst>
        </xdr:cNvPr>
        <xdr:cNvSpPr>
          <a:spLocks noChangeArrowheads="1"/>
        </xdr:cNvSpPr>
      </xdr:nvSpPr>
      <xdr:spPr bwMode="auto">
        <a:xfrm>
          <a:off x="8020046" y="1266825"/>
          <a:ext cx="1438319" cy="28800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5</xdr:col>
      <xdr:colOff>1000125</xdr:colOff>
      <xdr:row>5</xdr:row>
      <xdr:rowOff>114300</xdr:rowOff>
    </xdr:from>
    <xdr:to>
      <xdr:col>6</xdr:col>
      <xdr:colOff>245700</xdr:colOff>
      <xdr:row>6</xdr:row>
      <xdr:rowOff>116550</xdr:rowOff>
    </xdr:to>
    <xdr:sp macro="" textlink="">
      <xdr:nvSpPr>
        <xdr:cNvPr id="25" name="Flèche droite 7">
          <a:extLst>
            <a:ext uri="{FF2B5EF4-FFF2-40B4-BE49-F238E27FC236}">
              <a16:creationId xmlns:a16="http://schemas.microsoft.com/office/drawing/2014/main" id="{00000000-0008-0000-2F00-000019000000}"/>
            </a:ext>
          </a:extLst>
        </xdr:cNvPr>
        <xdr:cNvSpPr/>
      </xdr:nvSpPr>
      <xdr:spPr>
        <a:xfrm>
          <a:off x="5943600" y="1276350"/>
          <a:ext cx="360000" cy="288000"/>
        </a:xfrm>
        <a:prstGeom prst="rightArrow">
          <a:avLst/>
        </a:prstGeom>
        <a:solidFill>
          <a:srgbClr val="76923C"/>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solidFill>
              <a:srgbClr val="76923C"/>
            </a:solidFill>
          </a:endParaRPr>
        </a:p>
      </xdr:txBody>
    </xdr:sp>
    <xdr:clientData/>
  </xdr:twoCellAnchor>
  <xdr:twoCellAnchor editAs="oneCell">
    <xdr:from>
      <xdr:col>1</xdr:col>
      <xdr:colOff>66675</xdr:colOff>
      <xdr:row>51</xdr:row>
      <xdr:rowOff>161925</xdr:rowOff>
    </xdr:from>
    <xdr:to>
      <xdr:col>1</xdr:col>
      <xdr:colOff>570675</xdr:colOff>
      <xdr:row>54</xdr:row>
      <xdr:rowOff>65849</xdr:rowOff>
    </xdr:to>
    <xdr:pic>
      <xdr:nvPicPr>
        <xdr:cNvPr id="28" name="Picture 27">
          <a:extLst>
            <a:ext uri="{FF2B5EF4-FFF2-40B4-BE49-F238E27FC236}">
              <a16:creationId xmlns:a16="http://schemas.microsoft.com/office/drawing/2014/main" id="{00000000-0008-0000-2F00-00001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0" y="11744325"/>
          <a:ext cx="504000" cy="504000"/>
        </a:xfrm>
        <a:prstGeom prst="rect">
          <a:avLst/>
        </a:prstGeom>
      </xdr:spPr>
    </xdr:pic>
    <xdr:clientData/>
  </xdr:twoCellAnchor>
  <xdr:twoCellAnchor>
    <xdr:from>
      <xdr:col>8</xdr:col>
      <xdr:colOff>481855</xdr:colOff>
      <xdr:row>62</xdr:row>
      <xdr:rowOff>0</xdr:rowOff>
    </xdr:from>
    <xdr:to>
      <xdr:col>10</xdr:col>
      <xdr:colOff>164729</xdr:colOff>
      <xdr:row>65</xdr:row>
      <xdr:rowOff>56030</xdr:rowOff>
    </xdr:to>
    <xdr:sp macro="" textlink="">
      <xdr:nvSpPr>
        <xdr:cNvPr id="30" name="Rectangle à coins arrondis 2">
          <a:hlinkClick xmlns:r="http://schemas.openxmlformats.org/officeDocument/2006/relationships" r:id="rId9" tooltip="Resources"/>
          <a:extLst>
            <a:ext uri="{FF2B5EF4-FFF2-40B4-BE49-F238E27FC236}">
              <a16:creationId xmlns:a16="http://schemas.microsoft.com/office/drawing/2014/main" id="{00000000-0008-0000-2F00-00001E000000}"/>
            </a:ext>
          </a:extLst>
        </xdr:cNvPr>
        <xdr:cNvSpPr>
          <a:spLocks noChangeArrowheads="1"/>
        </xdr:cNvSpPr>
      </xdr:nvSpPr>
      <xdr:spPr bwMode="auto">
        <a:xfrm>
          <a:off x="8796620" y="13402235"/>
          <a:ext cx="1901638" cy="62753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typical values of GWP, ODP and Equipment Life</a:t>
          </a:r>
        </a:p>
      </xdr:txBody>
    </xdr:sp>
    <xdr:clientData/>
  </xdr:twoCellAnchor>
  <xdr:oneCellAnchor>
    <xdr:from>
      <xdr:col>1</xdr:col>
      <xdr:colOff>55469</xdr:colOff>
      <xdr:row>57</xdr:row>
      <xdr:rowOff>80682</xdr:rowOff>
    </xdr:from>
    <xdr:ext cx="360000" cy="360000"/>
    <xdr:pic>
      <xdr:nvPicPr>
        <xdr:cNvPr id="32" name="Picture 31">
          <a:extLst>
            <a:ext uri="{FF2B5EF4-FFF2-40B4-BE49-F238E27FC236}">
              <a16:creationId xmlns:a16="http://schemas.microsoft.com/office/drawing/2014/main" id="{00000000-0008-0000-2F00-00002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9234" y="12597653"/>
          <a:ext cx="360000" cy="360000"/>
        </a:xfrm>
        <a:prstGeom prst="rect">
          <a:avLst/>
        </a:prstGeom>
      </xdr:spPr>
    </xdr:pic>
    <xdr:clientData/>
  </xdr:oneCellAnchor>
  <xdr:twoCellAnchor editAs="oneCell">
    <xdr:from>
      <xdr:col>1</xdr:col>
      <xdr:colOff>58831</xdr:colOff>
      <xdr:row>24</xdr:row>
      <xdr:rowOff>30256</xdr:rowOff>
    </xdr:from>
    <xdr:to>
      <xdr:col>1</xdr:col>
      <xdr:colOff>453297</xdr:colOff>
      <xdr:row>25</xdr:row>
      <xdr:rowOff>203820</xdr:rowOff>
    </xdr:to>
    <xdr:pic>
      <xdr:nvPicPr>
        <xdr:cNvPr id="14" name="Picture 13">
          <a:extLst>
            <a:ext uri="{FF2B5EF4-FFF2-40B4-BE49-F238E27FC236}">
              <a16:creationId xmlns:a16="http://schemas.microsoft.com/office/drawing/2014/main" id="{00000000-0008-0000-2F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73156" y="5659531"/>
          <a:ext cx="394466" cy="3926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11</xdr:col>
      <xdr:colOff>19050</xdr:colOff>
      <xdr:row>14</xdr:row>
      <xdr:rowOff>23812</xdr:rowOff>
    </xdr:from>
    <xdr:ext cx="65" cy="172227"/>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8105775" y="2881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14</xdr:col>
      <xdr:colOff>57525</xdr:colOff>
      <xdr:row>1</xdr:row>
      <xdr:rowOff>38099</xdr:rowOff>
    </xdr:from>
    <xdr:to>
      <xdr:col>16</xdr:col>
      <xdr:colOff>68775</xdr:colOff>
      <xdr:row>2</xdr:row>
      <xdr:rowOff>123974</xdr:rowOff>
    </xdr:to>
    <xdr:sp macro="" textlink="">
      <xdr:nvSpPr>
        <xdr:cNvPr id="11" name="Rectangle à coins arrondis 2">
          <a:hlinkClick xmlns:r="http://schemas.openxmlformats.org/officeDocument/2006/relationships" r:id="rId1" tooltip="Scorecard"/>
          <a:extLst>
            <a:ext uri="{FF2B5EF4-FFF2-40B4-BE49-F238E27FC236}">
              <a16:creationId xmlns:a16="http://schemas.microsoft.com/office/drawing/2014/main" id="{00000000-0008-0000-0400-00000B000000}"/>
            </a:ext>
          </a:extLst>
        </xdr:cNvPr>
        <xdr:cNvSpPr>
          <a:spLocks noChangeArrowheads="1"/>
        </xdr:cNvSpPr>
      </xdr:nvSpPr>
      <xdr:spPr bwMode="auto">
        <a:xfrm>
          <a:off x="9830175" y="419099"/>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Scorecard</a:t>
          </a:r>
        </a:p>
      </xdr:txBody>
    </xdr:sp>
    <xdr:clientData/>
  </xdr:twoCellAnchor>
  <xdr:twoCellAnchor>
    <xdr:from>
      <xdr:col>9</xdr:col>
      <xdr:colOff>590549</xdr:colOff>
      <xdr:row>2</xdr:row>
      <xdr:rowOff>200024</xdr:rowOff>
    </xdr:from>
    <xdr:to>
      <xdr:col>11</xdr:col>
      <xdr:colOff>601799</xdr:colOff>
      <xdr:row>4</xdr:row>
      <xdr:rowOff>47774</xdr:rowOff>
    </xdr:to>
    <xdr:sp macro="" textlink="">
      <xdr:nvSpPr>
        <xdr:cNvPr id="12" name="Rectangle à coins arrondis 2">
          <a:hlinkClick xmlns:r="http://schemas.openxmlformats.org/officeDocument/2006/relationships" r:id="rId2" tooltip="Project Information"/>
          <a:extLst>
            <a:ext uri="{FF2B5EF4-FFF2-40B4-BE49-F238E27FC236}">
              <a16:creationId xmlns:a16="http://schemas.microsoft.com/office/drawing/2014/main" id="{00000000-0008-0000-0400-00000C000000}"/>
            </a:ext>
          </a:extLst>
        </xdr:cNvPr>
        <xdr:cNvSpPr>
          <a:spLocks noChangeArrowheads="1"/>
        </xdr:cNvSpPr>
      </xdr:nvSpPr>
      <xdr:spPr bwMode="auto">
        <a:xfrm>
          <a:off x="6867524" y="819149"/>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Project Information</a:t>
          </a:r>
        </a:p>
      </xdr:txBody>
    </xdr:sp>
    <xdr:clientData/>
  </xdr:twoCellAnchor>
  <xdr:twoCellAnchor>
    <xdr:from>
      <xdr:col>11</xdr:col>
      <xdr:colOff>676649</xdr:colOff>
      <xdr:row>2</xdr:row>
      <xdr:rowOff>200024</xdr:rowOff>
    </xdr:from>
    <xdr:to>
      <xdr:col>13</xdr:col>
      <xdr:colOff>687899</xdr:colOff>
      <xdr:row>4</xdr:row>
      <xdr:rowOff>47774</xdr:rowOff>
    </xdr:to>
    <xdr:sp macro="" textlink="">
      <xdr:nvSpPr>
        <xdr:cNvPr id="13" name="Rectangle à coins arrondis 2">
          <a:hlinkClick xmlns:r="http://schemas.openxmlformats.org/officeDocument/2006/relationships" r:id="rId3" tooltip="Graphical Results"/>
          <a:extLst>
            <a:ext uri="{FF2B5EF4-FFF2-40B4-BE49-F238E27FC236}">
              <a16:creationId xmlns:a16="http://schemas.microsoft.com/office/drawing/2014/main" id="{00000000-0008-0000-0400-00000D000000}"/>
            </a:ext>
          </a:extLst>
        </xdr:cNvPr>
        <xdr:cNvSpPr>
          <a:spLocks noChangeArrowheads="1"/>
        </xdr:cNvSpPr>
      </xdr:nvSpPr>
      <xdr:spPr bwMode="auto">
        <a:xfrm>
          <a:off x="8382374" y="819149"/>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Graphical Results </a:t>
          </a:r>
        </a:p>
      </xdr:txBody>
    </xdr:sp>
    <xdr:clientData/>
  </xdr:twoCellAnchor>
  <xdr:twoCellAnchor>
    <xdr:from>
      <xdr:col>9</xdr:col>
      <xdr:colOff>590549</xdr:colOff>
      <xdr:row>1</xdr:row>
      <xdr:rowOff>38100</xdr:rowOff>
    </xdr:from>
    <xdr:to>
      <xdr:col>11</xdr:col>
      <xdr:colOff>601799</xdr:colOff>
      <xdr:row>2</xdr:row>
      <xdr:rowOff>123975</xdr:rowOff>
    </xdr:to>
    <xdr:sp macro="" textlink="">
      <xdr:nvSpPr>
        <xdr:cNvPr id="14" name="Rectangle à coins arrondis 2">
          <a:hlinkClick xmlns:r="http://schemas.openxmlformats.org/officeDocument/2006/relationships" r:id="rId4" tooltip="Introduction"/>
          <a:extLst>
            <a:ext uri="{FF2B5EF4-FFF2-40B4-BE49-F238E27FC236}">
              <a16:creationId xmlns:a16="http://schemas.microsoft.com/office/drawing/2014/main" id="{00000000-0008-0000-0400-00000E000000}"/>
            </a:ext>
          </a:extLst>
        </xdr:cNvPr>
        <xdr:cNvSpPr>
          <a:spLocks noChangeArrowheads="1"/>
        </xdr:cNvSpPr>
      </xdr:nvSpPr>
      <xdr:spPr bwMode="auto">
        <a:xfrm>
          <a:off x="6791324" y="419100"/>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Introduction</a:t>
          </a:r>
        </a:p>
      </xdr:txBody>
    </xdr:sp>
    <xdr:clientData/>
  </xdr:twoCellAnchor>
  <xdr:twoCellAnchor>
    <xdr:from>
      <xdr:col>11</xdr:col>
      <xdr:colOff>676275</xdr:colOff>
      <xdr:row>1</xdr:row>
      <xdr:rowOff>38100</xdr:rowOff>
    </xdr:from>
    <xdr:to>
      <xdr:col>13</xdr:col>
      <xdr:colOff>687525</xdr:colOff>
      <xdr:row>2</xdr:row>
      <xdr:rowOff>123975</xdr:rowOff>
    </xdr:to>
    <xdr:sp macro="" textlink="">
      <xdr:nvSpPr>
        <xdr:cNvPr id="15" name="Rectangle à coins arrondis 2">
          <a:hlinkClick xmlns:r="http://schemas.openxmlformats.org/officeDocument/2006/relationships" r:id="rId5" tooltip="Instructions"/>
          <a:extLst>
            <a:ext uri="{FF2B5EF4-FFF2-40B4-BE49-F238E27FC236}">
              <a16:creationId xmlns:a16="http://schemas.microsoft.com/office/drawing/2014/main" id="{00000000-0008-0000-0400-00000F000000}"/>
            </a:ext>
          </a:extLst>
        </xdr:cNvPr>
        <xdr:cNvSpPr>
          <a:spLocks noChangeArrowheads="1"/>
        </xdr:cNvSpPr>
      </xdr:nvSpPr>
      <xdr:spPr bwMode="auto">
        <a:xfrm>
          <a:off x="8305800" y="419100"/>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76923C"/>
              </a:solidFill>
              <a:effectLst/>
              <a:latin typeface="Arial" panose="020B0604020202020204" pitchFamily="34" charset="0"/>
              <a:ea typeface="+mn-ea"/>
              <a:cs typeface="Arial" panose="020B0604020202020204" pitchFamily="34" charset="0"/>
            </a:rPr>
            <a:t>Instructions</a:t>
          </a:r>
          <a:endParaRPr lang="fr-FR" sz="1200" b="0" i="0" u="none" strike="noStrike" baseline="0">
            <a:solidFill>
              <a:srgbClr val="76923C"/>
            </a:solidFill>
            <a:latin typeface="Arial" panose="020B0604020202020204" pitchFamily="34" charset="0"/>
            <a:cs typeface="Arial" panose="020B0604020202020204" pitchFamily="34" charset="0"/>
          </a:endParaRPr>
        </a:p>
      </xdr:txBody>
    </xdr:sp>
    <xdr:clientData/>
  </xdr:twoCellAnchor>
  <xdr:twoCellAnchor>
    <xdr:from>
      <xdr:col>14</xdr:col>
      <xdr:colOff>66675</xdr:colOff>
      <xdr:row>2</xdr:row>
      <xdr:rowOff>200025</xdr:rowOff>
    </xdr:from>
    <xdr:to>
      <xdr:col>16</xdr:col>
      <xdr:colOff>77925</xdr:colOff>
      <xdr:row>4</xdr:row>
      <xdr:rowOff>47775</xdr:rowOff>
    </xdr:to>
    <xdr:sp macro="" textlink="">
      <xdr:nvSpPr>
        <xdr:cNvPr id="16" name="Rectangle à coins arrondis 2">
          <a:hlinkClick xmlns:r="http://schemas.openxmlformats.org/officeDocument/2006/relationships" r:id="rId6" tooltip="Glossary"/>
          <a:extLst>
            <a:ext uri="{FF2B5EF4-FFF2-40B4-BE49-F238E27FC236}">
              <a16:creationId xmlns:a16="http://schemas.microsoft.com/office/drawing/2014/main" id="{00000000-0008-0000-0400-000010000000}"/>
            </a:ext>
          </a:extLst>
        </xdr:cNvPr>
        <xdr:cNvSpPr>
          <a:spLocks noChangeArrowheads="1"/>
        </xdr:cNvSpPr>
      </xdr:nvSpPr>
      <xdr:spPr bwMode="auto">
        <a:xfrm>
          <a:off x="9915525" y="819150"/>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Glossary</a:t>
          </a:r>
        </a:p>
      </xdr:txBody>
    </xdr:sp>
    <xdr:clientData/>
  </xdr:twoCellAnchor>
  <xdr:twoCellAnchor editAs="oneCell">
    <xdr:from>
      <xdr:col>1</xdr:col>
      <xdr:colOff>161925</xdr:colOff>
      <xdr:row>25</xdr:row>
      <xdr:rowOff>57150</xdr:rowOff>
    </xdr:from>
    <xdr:to>
      <xdr:col>1</xdr:col>
      <xdr:colOff>701925</xdr:colOff>
      <xdr:row>27</xdr:row>
      <xdr:rowOff>159000</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6725" y="5286375"/>
          <a:ext cx="540000" cy="540000"/>
        </a:xfrm>
        <a:prstGeom prst="rect">
          <a:avLst/>
        </a:prstGeom>
      </xdr:spPr>
    </xdr:pic>
    <xdr:clientData/>
  </xdr:twoCellAnchor>
  <xdr:twoCellAnchor editAs="oneCell">
    <xdr:from>
      <xdr:col>1</xdr:col>
      <xdr:colOff>114300</xdr:colOff>
      <xdr:row>42</xdr:row>
      <xdr:rowOff>209550</xdr:rowOff>
    </xdr:from>
    <xdr:to>
      <xdr:col>1</xdr:col>
      <xdr:colOff>654300</xdr:colOff>
      <xdr:row>45</xdr:row>
      <xdr:rowOff>35175</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9100" y="8991600"/>
          <a:ext cx="540000" cy="5400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190500</xdr:colOff>
      <xdr:row>1</xdr:row>
      <xdr:rowOff>123825</xdr:rowOff>
    </xdr:from>
    <xdr:to>
      <xdr:col>2</xdr:col>
      <xdr:colOff>987450</xdr:colOff>
      <xdr:row>3</xdr:row>
      <xdr:rowOff>66825</xdr:rowOff>
    </xdr:to>
    <xdr:sp macro="" textlink="">
      <xdr:nvSpPr>
        <xdr:cNvPr id="4" name="Rectangle à coins arrondis 3">
          <a:hlinkClick xmlns:r="http://schemas.openxmlformats.org/officeDocument/2006/relationships" r:id="rId1" tooltip="Back to Local Environment"/>
          <a:extLst>
            <a:ext uri="{FF2B5EF4-FFF2-40B4-BE49-F238E27FC236}">
              <a16:creationId xmlns:a16="http://schemas.microsoft.com/office/drawing/2014/main" id="{00000000-0008-0000-3000-000004000000}"/>
            </a:ext>
          </a:extLst>
        </xdr:cNvPr>
        <xdr:cNvSpPr>
          <a:spLocks noChangeArrowheads="1"/>
        </xdr:cNvSpPr>
      </xdr:nvSpPr>
      <xdr:spPr bwMode="auto">
        <a:xfrm>
          <a:off x="190500" y="419100"/>
          <a:ext cx="234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190498</xdr:colOff>
      <xdr:row>1</xdr:row>
      <xdr:rowOff>123825</xdr:rowOff>
    </xdr:from>
    <xdr:to>
      <xdr:col>4</xdr:col>
      <xdr:colOff>1121773</xdr:colOff>
      <xdr:row>3</xdr:row>
      <xdr:rowOff>66825</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3000-000005000000}"/>
            </a:ext>
          </a:extLst>
        </xdr:cNvPr>
        <xdr:cNvSpPr>
          <a:spLocks noChangeArrowheads="1"/>
        </xdr:cNvSpPr>
      </xdr:nvSpPr>
      <xdr:spPr bwMode="auto">
        <a:xfrm>
          <a:off x="2962273" y="4191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66675</xdr:colOff>
      <xdr:row>15</xdr:row>
      <xdr:rowOff>95250</xdr:rowOff>
    </xdr:from>
    <xdr:ext cx="396000" cy="396000"/>
    <xdr:pic>
      <xdr:nvPicPr>
        <xdr:cNvPr id="10" name="Picture 9">
          <a:extLst>
            <a:ext uri="{FF2B5EF4-FFF2-40B4-BE49-F238E27FC236}">
              <a16:creationId xmlns:a16="http://schemas.microsoft.com/office/drawing/2014/main" id="{00000000-0008-0000-3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3324225"/>
          <a:ext cx="396000" cy="396000"/>
        </a:xfrm>
        <a:prstGeom prst="rect">
          <a:avLst/>
        </a:prstGeom>
      </xdr:spPr>
    </xdr:pic>
    <xdr:clientData/>
  </xdr:oneCellAnchor>
  <xdr:oneCellAnchor>
    <xdr:from>
      <xdr:col>1</xdr:col>
      <xdr:colOff>38100</xdr:colOff>
      <xdr:row>19</xdr:row>
      <xdr:rowOff>66675</xdr:rowOff>
    </xdr:from>
    <xdr:ext cx="360000" cy="360000"/>
    <xdr:pic>
      <xdr:nvPicPr>
        <xdr:cNvPr id="11" name="Picture 10">
          <a:extLst>
            <a:ext uri="{FF2B5EF4-FFF2-40B4-BE49-F238E27FC236}">
              <a16:creationId xmlns:a16="http://schemas.microsoft.com/office/drawing/2014/main" id="{00000000-0008-0000-3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2425" y="4162425"/>
          <a:ext cx="360000" cy="360000"/>
        </a:xfrm>
        <a:prstGeom prst="rect">
          <a:avLst/>
        </a:prstGeom>
      </xdr:spPr>
    </xdr:pic>
    <xdr:clientData/>
  </xdr:oneCellAnchor>
  <xdr:twoCellAnchor>
    <xdr:from>
      <xdr:col>6</xdr:col>
      <xdr:colOff>762000</xdr:colOff>
      <xdr:row>1</xdr:row>
      <xdr:rowOff>95250</xdr:rowOff>
    </xdr:from>
    <xdr:to>
      <xdr:col>6</xdr:col>
      <xdr:colOff>1162050</xdr:colOff>
      <xdr:row>3</xdr:row>
      <xdr:rowOff>66675</xdr:rowOff>
    </xdr:to>
    <xdr:sp macro="" textlink="">
      <xdr:nvSpPr>
        <xdr:cNvPr id="12" name="Up Arrow 11">
          <a:hlinkClick xmlns:r="http://schemas.openxmlformats.org/officeDocument/2006/relationships" r:id="rId5" tooltip="Back to top"/>
          <a:extLst>
            <a:ext uri="{FF2B5EF4-FFF2-40B4-BE49-F238E27FC236}">
              <a16:creationId xmlns:a16="http://schemas.microsoft.com/office/drawing/2014/main" id="{00000000-0008-0000-3000-00000C000000}"/>
            </a:ext>
          </a:extLst>
        </xdr:cNvPr>
        <xdr:cNvSpPr/>
      </xdr:nvSpPr>
      <xdr:spPr>
        <a:xfrm>
          <a:off x="7239000" y="390525"/>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9</xdr:col>
      <xdr:colOff>84668</xdr:colOff>
      <xdr:row>0</xdr:row>
      <xdr:rowOff>63499</xdr:rowOff>
    </xdr:from>
    <xdr:to>
      <xdr:col>11</xdr:col>
      <xdr:colOff>252401</xdr:colOff>
      <xdr:row>2</xdr:row>
      <xdr:rowOff>251365</xdr:rowOff>
    </xdr:to>
    <xdr:pic>
      <xdr:nvPicPr>
        <xdr:cNvPr id="4" name="Image 7" descr="management.png">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9683751" y="63499"/>
          <a:ext cx="887400" cy="907533"/>
        </a:xfrm>
        <a:prstGeom prst="rect">
          <a:avLst/>
        </a:prstGeom>
        <a:noFill/>
        <a:ln w="9525">
          <a:noFill/>
          <a:miter lim="800000"/>
          <a:headEnd/>
          <a:tailEnd/>
        </a:ln>
      </xdr:spPr>
    </xdr:pic>
    <xdr:clientData/>
  </xdr:twoCellAnchor>
  <xdr:twoCellAnchor>
    <xdr:from>
      <xdr:col>1</xdr:col>
      <xdr:colOff>0</xdr:colOff>
      <xdr:row>11</xdr:row>
      <xdr:rowOff>95253</xdr:rowOff>
    </xdr:from>
    <xdr:to>
      <xdr:col>1</xdr:col>
      <xdr:colOff>1980000</xdr:colOff>
      <xdr:row>13</xdr:row>
      <xdr:rowOff>110253</xdr:rowOff>
    </xdr:to>
    <xdr:sp macro="" textlink="">
      <xdr:nvSpPr>
        <xdr:cNvPr id="6" name="Rectangle à coins arrondis 2">
          <a:hlinkClick xmlns:r="http://schemas.openxmlformats.org/officeDocument/2006/relationships" r:id="rId2" tooltip="Scorecard"/>
          <a:extLst>
            <a:ext uri="{FF2B5EF4-FFF2-40B4-BE49-F238E27FC236}">
              <a16:creationId xmlns:a16="http://schemas.microsoft.com/office/drawing/2014/main" id="{00000000-0008-0000-3100-000006000000}"/>
            </a:ext>
          </a:extLst>
        </xdr:cNvPr>
        <xdr:cNvSpPr>
          <a:spLocks noChangeArrowheads="1"/>
        </xdr:cNvSpPr>
      </xdr:nvSpPr>
      <xdr:spPr bwMode="auto">
        <a:xfrm>
          <a:off x="381000" y="3238503"/>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352425</xdr:colOff>
      <xdr:row>1</xdr:row>
      <xdr:rowOff>123825</xdr:rowOff>
    </xdr:from>
    <xdr:to>
      <xdr:col>3</xdr:col>
      <xdr:colOff>129225</xdr:colOff>
      <xdr:row>3</xdr:row>
      <xdr:rowOff>66825</xdr:rowOff>
    </xdr:to>
    <xdr:sp macro="" textlink="">
      <xdr:nvSpPr>
        <xdr:cNvPr id="4" name="Rectangle à coins arrondis 2">
          <a:hlinkClick xmlns:r="http://schemas.openxmlformats.org/officeDocument/2006/relationships" r:id="rId1" tooltip="Back to C&amp;M"/>
          <a:extLst>
            <a:ext uri="{FF2B5EF4-FFF2-40B4-BE49-F238E27FC236}">
              <a16:creationId xmlns:a16="http://schemas.microsoft.com/office/drawing/2014/main" id="{00000000-0008-0000-3200-000004000000}"/>
            </a:ext>
          </a:extLst>
        </xdr:cNvPr>
        <xdr:cNvSpPr>
          <a:spLocks noChangeArrowheads="1"/>
        </xdr:cNvSpPr>
      </xdr:nvSpPr>
      <xdr:spPr bwMode="auto">
        <a:xfrm>
          <a:off x="352425" y="447675"/>
          <a:ext cx="252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Community &amp; Management</a:t>
          </a:r>
        </a:p>
      </xdr:txBody>
    </xdr:sp>
    <xdr:clientData/>
  </xdr:twoCellAnchor>
  <xdr:twoCellAnchor>
    <xdr:from>
      <xdr:col>3</xdr:col>
      <xdr:colOff>676276</xdr:colOff>
      <xdr:row>1</xdr:row>
      <xdr:rowOff>133349</xdr:rowOff>
    </xdr:from>
    <xdr:to>
      <xdr:col>5</xdr:col>
      <xdr:colOff>378826</xdr:colOff>
      <xdr:row>3</xdr:row>
      <xdr:rowOff>76349</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3200-000005000000}"/>
            </a:ext>
          </a:extLst>
        </xdr:cNvPr>
        <xdr:cNvSpPr>
          <a:spLocks noChangeArrowheads="1"/>
        </xdr:cNvSpPr>
      </xdr:nvSpPr>
      <xdr:spPr bwMode="auto">
        <a:xfrm>
          <a:off x="3419476" y="457199"/>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0</xdr:col>
      <xdr:colOff>314325</xdr:colOff>
      <xdr:row>14</xdr:row>
      <xdr:rowOff>85725</xdr:rowOff>
    </xdr:from>
    <xdr:to>
      <xdr:col>1</xdr:col>
      <xdr:colOff>329325</xdr:colOff>
      <xdr:row>16</xdr:row>
      <xdr:rowOff>100725</xdr:rowOff>
    </xdr:to>
    <xdr:pic>
      <xdr:nvPicPr>
        <xdr:cNvPr id="6" name="Picture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325" y="3181350"/>
          <a:ext cx="396000" cy="396000"/>
        </a:xfrm>
        <a:prstGeom prst="rect">
          <a:avLst/>
        </a:prstGeom>
      </xdr:spPr>
    </xdr:pic>
    <xdr:clientData/>
  </xdr:twoCellAnchor>
  <xdr:oneCellAnchor>
    <xdr:from>
      <xdr:col>0</xdr:col>
      <xdr:colOff>352425</xdr:colOff>
      <xdr:row>20</xdr:row>
      <xdr:rowOff>161925</xdr:rowOff>
    </xdr:from>
    <xdr:ext cx="360000" cy="360000"/>
    <xdr:pic>
      <xdr:nvPicPr>
        <xdr:cNvPr id="7" name="Picture 6">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2425" y="4362450"/>
          <a:ext cx="360000" cy="360000"/>
        </a:xfrm>
        <a:prstGeom prst="rect">
          <a:avLst/>
        </a:prstGeom>
      </xdr:spPr>
    </xdr:pic>
    <xdr:clientData/>
  </xdr:oneCellAnchor>
  <xdr:twoCellAnchor editAs="oneCell">
    <xdr:from>
      <xdr:col>0</xdr:col>
      <xdr:colOff>304800</xdr:colOff>
      <xdr:row>17</xdr:row>
      <xdr:rowOff>66675</xdr:rowOff>
    </xdr:from>
    <xdr:to>
      <xdr:col>1</xdr:col>
      <xdr:colOff>354126</xdr:colOff>
      <xdr:row>19</xdr:row>
      <xdr:rowOff>117675</xdr:rowOff>
    </xdr:to>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4800" y="3752850"/>
          <a:ext cx="430326" cy="432000"/>
        </a:xfrm>
        <a:prstGeom prst="rect">
          <a:avLst/>
        </a:prstGeom>
      </xdr:spPr>
    </xdr:pic>
    <xdr:clientData/>
  </xdr:twoCellAnchor>
  <xdr:twoCellAnchor>
    <xdr:from>
      <xdr:col>7</xdr:col>
      <xdr:colOff>247650</xdr:colOff>
      <xdr:row>1</xdr:row>
      <xdr:rowOff>104775</xdr:rowOff>
    </xdr:from>
    <xdr:to>
      <xdr:col>7</xdr:col>
      <xdr:colOff>647700</xdr:colOff>
      <xdr:row>3</xdr:row>
      <xdr:rowOff>76200</xdr:rowOff>
    </xdr:to>
    <xdr:sp macro="" textlink="">
      <xdr:nvSpPr>
        <xdr:cNvPr id="8" name="Up Arrow 7">
          <a:hlinkClick xmlns:r="http://schemas.openxmlformats.org/officeDocument/2006/relationships" r:id="rId6" tooltip="Back to top"/>
          <a:extLst>
            <a:ext uri="{FF2B5EF4-FFF2-40B4-BE49-F238E27FC236}">
              <a16:creationId xmlns:a16="http://schemas.microsoft.com/office/drawing/2014/main" id="{00000000-0008-0000-3200-000008000000}"/>
            </a:ext>
          </a:extLst>
        </xdr:cNvPr>
        <xdr:cNvSpPr/>
      </xdr:nvSpPr>
      <xdr:spPr>
        <a:xfrm>
          <a:off x="7829550" y="428625"/>
          <a:ext cx="400050"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285749</xdr:colOff>
      <xdr:row>1</xdr:row>
      <xdr:rowOff>123826</xdr:rowOff>
    </xdr:from>
    <xdr:to>
      <xdr:col>2</xdr:col>
      <xdr:colOff>142499</xdr:colOff>
      <xdr:row>3</xdr:row>
      <xdr:rowOff>66826</xdr:rowOff>
    </xdr:to>
    <xdr:sp macro="" textlink="">
      <xdr:nvSpPr>
        <xdr:cNvPr id="5" name="Rectangle à coins arrondis 2">
          <a:hlinkClick xmlns:r="http://schemas.openxmlformats.org/officeDocument/2006/relationships" r:id="rId1" tooltip="Back to C&amp;M"/>
          <a:extLst>
            <a:ext uri="{FF2B5EF4-FFF2-40B4-BE49-F238E27FC236}">
              <a16:creationId xmlns:a16="http://schemas.microsoft.com/office/drawing/2014/main" id="{00000000-0008-0000-3300-000005000000}"/>
            </a:ext>
          </a:extLst>
        </xdr:cNvPr>
        <xdr:cNvSpPr>
          <a:spLocks noChangeArrowheads="1"/>
        </xdr:cNvSpPr>
      </xdr:nvSpPr>
      <xdr:spPr bwMode="auto">
        <a:xfrm>
          <a:off x="285749" y="447676"/>
          <a:ext cx="1466475"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C&amp;M</a:t>
          </a:r>
        </a:p>
      </xdr:txBody>
    </xdr:sp>
    <xdr:clientData/>
  </xdr:twoCellAnchor>
  <xdr:twoCellAnchor>
    <xdr:from>
      <xdr:col>2</xdr:col>
      <xdr:colOff>419100</xdr:colOff>
      <xdr:row>1</xdr:row>
      <xdr:rowOff>123825</xdr:rowOff>
    </xdr:from>
    <xdr:to>
      <xdr:col>3</xdr:col>
      <xdr:colOff>807150</xdr:colOff>
      <xdr:row>3</xdr:row>
      <xdr:rowOff>66825</xdr:rowOff>
    </xdr:to>
    <xdr:sp macro="" textlink="">
      <xdr:nvSpPr>
        <xdr:cNvPr id="6" name="Rectangle à coins arrondis 5">
          <a:hlinkClick xmlns:r="http://schemas.openxmlformats.org/officeDocument/2006/relationships" r:id="rId2" tooltip="Scorecard"/>
          <a:extLst>
            <a:ext uri="{FF2B5EF4-FFF2-40B4-BE49-F238E27FC236}">
              <a16:creationId xmlns:a16="http://schemas.microsoft.com/office/drawing/2014/main" id="{00000000-0008-0000-3300-000006000000}"/>
            </a:ext>
          </a:extLst>
        </xdr:cNvPr>
        <xdr:cNvSpPr>
          <a:spLocks noChangeArrowheads="1"/>
        </xdr:cNvSpPr>
      </xdr:nvSpPr>
      <xdr:spPr bwMode="auto">
        <a:xfrm>
          <a:off x="2028825" y="447675"/>
          <a:ext cx="1512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3</xdr:col>
      <xdr:colOff>1171575</xdr:colOff>
      <xdr:row>1</xdr:row>
      <xdr:rowOff>142875</xdr:rowOff>
    </xdr:from>
    <xdr:to>
      <xdr:col>4</xdr:col>
      <xdr:colOff>806850</xdr:colOff>
      <xdr:row>3</xdr:row>
      <xdr:rowOff>49875</xdr:rowOff>
    </xdr:to>
    <xdr:sp macro="" textlink="">
      <xdr:nvSpPr>
        <xdr:cNvPr id="7" name="Rectangle à coins arrondis 2">
          <a:hlinkClick xmlns:r="http://schemas.openxmlformats.org/officeDocument/2006/relationships" r:id="rId3" tooltip="Strategy A"/>
          <a:extLst>
            <a:ext uri="{FF2B5EF4-FFF2-40B4-BE49-F238E27FC236}">
              <a16:creationId xmlns:a16="http://schemas.microsoft.com/office/drawing/2014/main" id="{00000000-0008-0000-3300-000007000000}"/>
            </a:ext>
          </a:extLst>
        </xdr:cNvPr>
        <xdr:cNvSpPr>
          <a:spLocks noChangeArrowheads="1"/>
        </xdr:cNvSpPr>
      </xdr:nvSpPr>
      <xdr:spPr bwMode="auto">
        <a:xfrm>
          <a:off x="3905250" y="466725"/>
          <a:ext cx="864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4</xdr:col>
      <xdr:colOff>895350</xdr:colOff>
      <xdr:row>1</xdr:row>
      <xdr:rowOff>142875</xdr:rowOff>
    </xdr:from>
    <xdr:to>
      <xdr:col>5</xdr:col>
      <xdr:colOff>530625</xdr:colOff>
      <xdr:row>3</xdr:row>
      <xdr:rowOff>49875</xdr:rowOff>
    </xdr:to>
    <xdr:sp macro="" textlink="">
      <xdr:nvSpPr>
        <xdr:cNvPr id="8" name="Rectangle à coins arrondis 2">
          <a:hlinkClick xmlns:r="http://schemas.openxmlformats.org/officeDocument/2006/relationships" r:id="rId4" tooltip="Strategy B"/>
          <a:extLst>
            <a:ext uri="{FF2B5EF4-FFF2-40B4-BE49-F238E27FC236}">
              <a16:creationId xmlns:a16="http://schemas.microsoft.com/office/drawing/2014/main" id="{00000000-0008-0000-3300-000008000000}"/>
            </a:ext>
          </a:extLst>
        </xdr:cNvPr>
        <xdr:cNvSpPr>
          <a:spLocks noChangeArrowheads="1"/>
        </xdr:cNvSpPr>
      </xdr:nvSpPr>
      <xdr:spPr bwMode="auto">
        <a:xfrm>
          <a:off x="4857750" y="466725"/>
          <a:ext cx="864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5</xdr:col>
      <xdr:colOff>619125</xdr:colOff>
      <xdr:row>1</xdr:row>
      <xdr:rowOff>142875</xdr:rowOff>
    </xdr:from>
    <xdr:to>
      <xdr:col>6</xdr:col>
      <xdr:colOff>254400</xdr:colOff>
      <xdr:row>3</xdr:row>
      <xdr:rowOff>49875</xdr:rowOff>
    </xdr:to>
    <xdr:sp macro="" textlink="">
      <xdr:nvSpPr>
        <xdr:cNvPr id="9" name="Rectangle à coins arrondis 2">
          <a:hlinkClick xmlns:r="http://schemas.openxmlformats.org/officeDocument/2006/relationships" r:id="rId5" tooltip="Strategy C"/>
          <a:extLst>
            <a:ext uri="{FF2B5EF4-FFF2-40B4-BE49-F238E27FC236}">
              <a16:creationId xmlns:a16="http://schemas.microsoft.com/office/drawing/2014/main" id="{00000000-0008-0000-3300-000009000000}"/>
            </a:ext>
          </a:extLst>
        </xdr:cNvPr>
        <xdr:cNvSpPr>
          <a:spLocks noChangeArrowheads="1"/>
        </xdr:cNvSpPr>
      </xdr:nvSpPr>
      <xdr:spPr bwMode="auto">
        <a:xfrm>
          <a:off x="5810250" y="466725"/>
          <a:ext cx="864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6</xdr:col>
      <xdr:colOff>342900</xdr:colOff>
      <xdr:row>1</xdr:row>
      <xdr:rowOff>142875</xdr:rowOff>
    </xdr:from>
    <xdr:to>
      <xdr:col>6</xdr:col>
      <xdr:colOff>1206900</xdr:colOff>
      <xdr:row>3</xdr:row>
      <xdr:rowOff>49875</xdr:rowOff>
    </xdr:to>
    <xdr:sp macro="" textlink="">
      <xdr:nvSpPr>
        <xdr:cNvPr id="10" name="Rectangle à coins arrondis 2">
          <a:hlinkClick xmlns:r="http://schemas.openxmlformats.org/officeDocument/2006/relationships" r:id="rId6" tooltip="Strategy D"/>
          <a:extLst>
            <a:ext uri="{FF2B5EF4-FFF2-40B4-BE49-F238E27FC236}">
              <a16:creationId xmlns:a16="http://schemas.microsoft.com/office/drawing/2014/main" id="{00000000-0008-0000-3300-00000A000000}"/>
            </a:ext>
          </a:extLst>
        </xdr:cNvPr>
        <xdr:cNvSpPr>
          <a:spLocks noChangeArrowheads="1"/>
        </xdr:cNvSpPr>
      </xdr:nvSpPr>
      <xdr:spPr bwMode="auto">
        <a:xfrm>
          <a:off x="6762750" y="466725"/>
          <a:ext cx="864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xdr:from>
      <xdr:col>7</xdr:col>
      <xdr:colOff>66675</xdr:colOff>
      <xdr:row>1</xdr:row>
      <xdr:rowOff>142875</xdr:rowOff>
    </xdr:from>
    <xdr:to>
      <xdr:col>7</xdr:col>
      <xdr:colOff>930675</xdr:colOff>
      <xdr:row>3</xdr:row>
      <xdr:rowOff>49875</xdr:rowOff>
    </xdr:to>
    <xdr:sp macro="" textlink="">
      <xdr:nvSpPr>
        <xdr:cNvPr id="11" name="Rectangle à coins arrondis 2">
          <a:hlinkClick xmlns:r="http://schemas.openxmlformats.org/officeDocument/2006/relationships" r:id="rId7" tooltip="Strategy E"/>
          <a:extLst>
            <a:ext uri="{FF2B5EF4-FFF2-40B4-BE49-F238E27FC236}">
              <a16:creationId xmlns:a16="http://schemas.microsoft.com/office/drawing/2014/main" id="{00000000-0008-0000-3300-00000B000000}"/>
            </a:ext>
          </a:extLst>
        </xdr:cNvPr>
        <xdr:cNvSpPr>
          <a:spLocks noChangeArrowheads="1"/>
        </xdr:cNvSpPr>
      </xdr:nvSpPr>
      <xdr:spPr bwMode="auto">
        <a:xfrm>
          <a:off x="7705725" y="466725"/>
          <a:ext cx="864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E</a:t>
          </a:r>
        </a:p>
      </xdr:txBody>
    </xdr:sp>
    <xdr:clientData/>
  </xdr:twoCellAnchor>
  <xdr:twoCellAnchor editAs="oneCell">
    <xdr:from>
      <xdr:col>1</xdr:col>
      <xdr:colOff>57150</xdr:colOff>
      <xdr:row>22</xdr:row>
      <xdr:rowOff>38100</xdr:rowOff>
    </xdr:from>
    <xdr:to>
      <xdr:col>1</xdr:col>
      <xdr:colOff>453150</xdr:colOff>
      <xdr:row>23</xdr:row>
      <xdr:rowOff>205500</xdr:rowOff>
    </xdr:to>
    <xdr:pic>
      <xdr:nvPicPr>
        <xdr:cNvPr id="13" name="Picture 12">
          <a:extLst>
            <a:ext uri="{FF2B5EF4-FFF2-40B4-BE49-F238E27FC236}">
              <a16:creationId xmlns:a16="http://schemas.microsoft.com/office/drawing/2014/main" id="{00000000-0008-0000-33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 y="5686425"/>
          <a:ext cx="396000" cy="396000"/>
        </a:xfrm>
        <a:prstGeom prst="rect">
          <a:avLst/>
        </a:prstGeom>
      </xdr:spPr>
    </xdr:pic>
    <xdr:clientData/>
  </xdr:twoCellAnchor>
  <xdr:oneCellAnchor>
    <xdr:from>
      <xdr:col>1</xdr:col>
      <xdr:colOff>47625</xdr:colOff>
      <xdr:row>24</xdr:row>
      <xdr:rowOff>142875</xdr:rowOff>
    </xdr:from>
    <xdr:ext cx="360000" cy="360000"/>
    <xdr:pic>
      <xdr:nvPicPr>
        <xdr:cNvPr id="14" name="Picture 13">
          <a:extLst>
            <a:ext uri="{FF2B5EF4-FFF2-40B4-BE49-F238E27FC236}">
              <a16:creationId xmlns:a16="http://schemas.microsoft.com/office/drawing/2014/main" id="{00000000-0008-0000-33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8625" y="6248400"/>
          <a:ext cx="360000" cy="360000"/>
        </a:xfrm>
        <a:prstGeom prst="rect">
          <a:avLst/>
        </a:prstGeom>
      </xdr:spPr>
    </xdr:pic>
    <xdr:clientData/>
  </xdr:oneCellAnchor>
  <xdr:twoCellAnchor editAs="oneCell">
    <xdr:from>
      <xdr:col>1</xdr:col>
      <xdr:colOff>0</xdr:colOff>
      <xdr:row>52</xdr:row>
      <xdr:rowOff>66675</xdr:rowOff>
    </xdr:from>
    <xdr:to>
      <xdr:col>1</xdr:col>
      <xdr:colOff>396000</xdr:colOff>
      <xdr:row>54</xdr:row>
      <xdr:rowOff>119775</xdr:rowOff>
    </xdr:to>
    <xdr:pic>
      <xdr:nvPicPr>
        <xdr:cNvPr id="15" name="Picture 14">
          <a:extLst>
            <a:ext uri="{FF2B5EF4-FFF2-40B4-BE49-F238E27FC236}">
              <a16:creationId xmlns:a16="http://schemas.microsoft.com/office/drawing/2014/main" id="{00000000-0008-0000-33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0" y="12230100"/>
          <a:ext cx="396000" cy="396000"/>
        </a:xfrm>
        <a:prstGeom prst="rect">
          <a:avLst/>
        </a:prstGeom>
      </xdr:spPr>
    </xdr:pic>
    <xdr:clientData/>
  </xdr:twoCellAnchor>
  <xdr:twoCellAnchor editAs="oneCell">
    <xdr:from>
      <xdr:col>1</xdr:col>
      <xdr:colOff>38100</xdr:colOff>
      <xdr:row>63</xdr:row>
      <xdr:rowOff>123825</xdr:rowOff>
    </xdr:from>
    <xdr:to>
      <xdr:col>1</xdr:col>
      <xdr:colOff>398100</xdr:colOff>
      <xdr:row>65</xdr:row>
      <xdr:rowOff>102825</xdr:rowOff>
    </xdr:to>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9100" y="13049250"/>
          <a:ext cx="360000" cy="360000"/>
        </a:xfrm>
        <a:prstGeom prst="rect">
          <a:avLst/>
        </a:prstGeom>
      </xdr:spPr>
    </xdr:pic>
    <xdr:clientData/>
  </xdr:twoCellAnchor>
  <xdr:oneCellAnchor>
    <xdr:from>
      <xdr:col>1</xdr:col>
      <xdr:colOff>28575</xdr:colOff>
      <xdr:row>61</xdr:row>
      <xdr:rowOff>114300</xdr:rowOff>
    </xdr:from>
    <xdr:ext cx="360000" cy="360000"/>
    <xdr:pic>
      <xdr:nvPicPr>
        <xdr:cNvPr id="18" name="Picture 17">
          <a:extLst>
            <a:ext uri="{FF2B5EF4-FFF2-40B4-BE49-F238E27FC236}">
              <a16:creationId xmlns:a16="http://schemas.microsoft.com/office/drawing/2014/main" id="{00000000-0008-0000-33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9575" y="14182725"/>
          <a:ext cx="360000" cy="360000"/>
        </a:xfrm>
        <a:prstGeom prst="rect">
          <a:avLst/>
        </a:prstGeom>
      </xdr:spPr>
    </xdr:pic>
    <xdr:clientData/>
  </xdr:oneCellAnchor>
  <xdr:twoCellAnchor editAs="oneCell">
    <xdr:from>
      <xdr:col>1</xdr:col>
      <xdr:colOff>57150</xdr:colOff>
      <xdr:row>57</xdr:row>
      <xdr:rowOff>19050</xdr:rowOff>
    </xdr:from>
    <xdr:to>
      <xdr:col>1</xdr:col>
      <xdr:colOff>597150</xdr:colOff>
      <xdr:row>59</xdr:row>
      <xdr:rowOff>178050</xdr:rowOff>
    </xdr:to>
    <xdr:pic>
      <xdr:nvPicPr>
        <xdr:cNvPr id="19" name="Picture 18">
          <a:extLst>
            <a:ext uri="{FF2B5EF4-FFF2-40B4-BE49-F238E27FC236}">
              <a16:creationId xmlns:a16="http://schemas.microsoft.com/office/drawing/2014/main" id="{00000000-0008-0000-33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 y="13134975"/>
          <a:ext cx="540000" cy="540000"/>
        </a:xfrm>
        <a:prstGeom prst="rect">
          <a:avLst/>
        </a:prstGeom>
      </xdr:spPr>
    </xdr:pic>
    <xdr:clientData/>
  </xdr:twoCellAnchor>
  <xdr:twoCellAnchor editAs="oneCell">
    <xdr:from>
      <xdr:col>1</xdr:col>
      <xdr:colOff>9525</xdr:colOff>
      <xdr:row>88</xdr:row>
      <xdr:rowOff>95250</xdr:rowOff>
    </xdr:from>
    <xdr:to>
      <xdr:col>1</xdr:col>
      <xdr:colOff>405525</xdr:colOff>
      <xdr:row>90</xdr:row>
      <xdr:rowOff>110250</xdr:rowOff>
    </xdr:to>
    <xdr:pic>
      <xdr:nvPicPr>
        <xdr:cNvPr id="20" name="Picture 19">
          <a:extLst>
            <a:ext uri="{FF2B5EF4-FFF2-40B4-BE49-F238E27FC236}">
              <a16:creationId xmlns:a16="http://schemas.microsoft.com/office/drawing/2014/main" id="{00000000-0008-0000-33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0525" y="19907250"/>
          <a:ext cx="396000" cy="396000"/>
        </a:xfrm>
        <a:prstGeom prst="rect">
          <a:avLst/>
        </a:prstGeom>
      </xdr:spPr>
    </xdr:pic>
    <xdr:clientData/>
  </xdr:twoCellAnchor>
  <xdr:oneCellAnchor>
    <xdr:from>
      <xdr:col>1</xdr:col>
      <xdr:colOff>38100</xdr:colOff>
      <xdr:row>90</xdr:row>
      <xdr:rowOff>161925</xdr:rowOff>
    </xdr:from>
    <xdr:ext cx="360000" cy="360000"/>
    <xdr:pic>
      <xdr:nvPicPr>
        <xdr:cNvPr id="21" name="Picture 20">
          <a:extLst>
            <a:ext uri="{FF2B5EF4-FFF2-40B4-BE49-F238E27FC236}">
              <a16:creationId xmlns:a16="http://schemas.microsoft.com/office/drawing/2014/main" id="{00000000-0008-0000-3300-00001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9100" y="20354925"/>
          <a:ext cx="360000" cy="360000"/>
        </a:xfrm>
        <a:prstGeom prst="rect">
          <a:avLst/>
        </a:prstGeom>
      </xdr:spPr>
    </xdr:pic>
    <xdr:clientData/>
  </xdr:oneCellAnchor>
  <xdr:twoCellAnchor editAs="oneCell">
    <xdr:from>
      <xdr:col>1</xdr:col>
      <xdr:colOff>0</xdr:colOff>
      <xdr:row>120</xdr:row>
      <xdr:rowOff>95250</xdr:rowOff>
    </xdr:from>
    <xdr:to>
      <xdr:col>1</xdr:col>
      <xdr:colOff>396000</xdr:colOff>
      <xdr:row>122</xdr:row>
      <xdr:rowOff>110250</xdr:rowOff>
    </xdr:to>
    <xdr:pic>
      <xdr:nvPicPr>
        <xdr:cNvPr id="22" name="Picture 21">
          <a:extLst>
            <a:ext uri="{FF2B5EF4-FFF2-40B4-BE49-F238E27FC236}">
              <a16:creationId xmlns:a16="http://schemas.microsoft.com/office/drawing/2014/main" id="{00000000-0008-0000-3300-00001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0" y="27031950"/>
          <a:ext cx="396000" cy="396000"/>
        </a:xfrm>
        <a:prstGeom prst="rect">
          <a:avLst/>
        </a:prstGeom>
      </xdr:spPr>
    </xdr:pic>
    <xdr:clientData/>
  </xdr:twoCellAnchor>
  <xdr:oneCellAnchor>
    <xdr:from>
      <xdr:col>1</xdr:col>
      <xdr:colOff>28575</xdr:colOff>
      <xdr:row>122</xdr:row>
      <xdr:rowOff>142875</xdr:rowOff>
    </xdr:from>
    <xdr:ext cx="360000" cy="360000"/>
    <xdr:pic>
      <xdr:nvPicPr>
        <xdr:cNvPr id="23" name="Picture 22">
          <a:extLst>
            <a:ext uri="{FF2B5EF4-FFF2-40B4-BE49-F238E27FC236}">
              <a16:creationId xmlns:a16="http://schemas.microsoft.com/office/drawing/2014/main" id="{00000000-0008-0000-3300-00001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9575" y="27460575"/>
          <a:ext cx="360000" cy="360000"/>
        </a:xfrm>
        <a:prstGeom prst="rect">
          <a:avLst/>
        </a:prstGeom>
      </xdr:spPr>
    </xdr:pic>
    <xdr:clientData/>
  </xdr:oneCellAnchor>
  <xdr:oneCellAnchor>
    <xdr:from>
      <xdr:col>1</xdr:col>
      <xdr:colOff>0</xdr:colOff>
      <xdr:row>144</xdr:row>
      <xdr:rowOff>47625</xdr:rowOff>
    </xdr:from>
    <xdr:ext cx="396000" cy="396000"/>
    <xdr:pic>
      <xdr:nvPicPr>
        <xdr:cNvPr id="26" name="Picture 25">
          <a:extLst>
            <a:ext uri="{FF2B5EF4-FFF2-40B4-BE49-F238E27FC236}">
              <a16:creationId xmlns:a16="http://schemas.microsoft.com/office/drawing/2014/main" id="{00000000-0008-0000-33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0" y="32165925"/>
          <a:ext cx="396000" cy="396000"/>
        </a:xfrm>
        <a:prstGeom prst="rect">
          <a:avLst/>
        </a:prstGeom>
      </xdr:spPr>
    </xdr:pic>
    <xdr:clientData/>
  </xdr:oneCellAnchor>
  <xdr:oneCellAnchor>
    <xdr:from>
      <xdr:col>1</xdr:col>
      <xdr:colOff>38100</xdr:colOff>
      <xdr:row>146</xdr:row>
      <xdr:rowOff>171450</xdr:rowOff>
    </xdr:from>
    <xdr:ext cx="360000" cy="360000"/>
    <xdr:pic>
      <xdr:nvPicPr>
        <xdr:cNvPr id="27" name="Picture 26">
          <a:extLst>
            <a:ext uri="{FF2B5EF4-FFF2-40B4-BE49-F238E27FC236}">
              <a16:creationId xmlns:a16="http://schemas.microsoft.com/office/drawing/2014/main" id="{00000000-0008-0000-33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9100" y="32613600"/>
          <a:ext cx="360000" cy="360000"/>
        </a:xfrm>
        <a:prstGeom prst="rect">
          <a:avLst/>
        </a:prstGeom>
      </xdr:spPr>
    </xdr:pic>
    <xdr:clientData/>
  </xdr:oneCellAnchor>
  <xdr:twoCellAnchor>
    <xdr:from>
      <xdr:col>7</xdr:col>
      <xdr:colOff>1219200</xdr:colOff>
      <xdr:row>1</xdr:row>
      <xdr:rowOff>95250</xdr:rowOff>
    </xdr:from>
    <xdr:to>
      <xdr:col>8</xdr:col>
      <xdr:colOff>171450</xdr:colOff>
      <xdr:row>3</xdr:row>
      <xdr:rowOff>66675</xdr:rowOff>
    </xdr:to>
    <xdr:sp macro="" textlink="">
      <xdr:nvSpPr>
        <xdr:cNvPr id="29" name="Up Arrow 28">
          <a:hlinkClick xmlns:r="http://schemas.openxmlformats.org/officeDocument/2006/relationships" r:id="rId11" tooltip="Back to top"/>
          <a:extLst>
            <a:ext uri="{FF2B5EF4-FFF2-40B4-BE49-F238E27FC236}">
              <a16:creationId xmlns:a16="http://schemas.microsoft.com/office/drawing/2014/main" id="{00000000-0008-0000-3300-00001D000000}"/>
            </a:ext>
          </a:extLst>
        </xdr:cNvPr>
        <xdr:cNvSpPr/>
      </xdr:nvSpPr>
      <xdr:spPr>
        <a:xfrm>
          <a:off x="8858250" y="419100"/>
          <a:ext cx="400050"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257174</xdr:colOff>
      <xdr:row>1</xdr:row>
      <xdr:rowOff>123826</xdr:rowOff>
    </xdr:from>
    <xdr:to>
      <xdr:col>3</xdr:col>
      <xdr:colOff>33974</xdr:colOff>
      <xdr:row>3</xdr:row>
      <xdr:rowOff>66826</xdr:rowOff>
    </xdr:to>
    <xdr:sp macro="" textlink="">
      <xdr:nvSpPr>
        <xdr:cNvPr id="2" name="Rectangle à coins arrondis 2">
          <a:hlinkClick xmlns:r="http://schemas.openxmlformats.org/officeDocument/2006/relationships" r:id="rId1" tooltip="Back to C&amp;M"/>
          <a:extLst>
            <a:ext uri="{FF2B5EF4-FFF2-40B4-BE49-F238E27FC236}">
              <a16:creationId xmlns:a16="http://schemas.microsoft.com/office/drawing/2014/main" id="{00000000-0008-0000-3400-000002000000}"/>
            </a:ext>
          </a:extLst>
        </xdr:cNvPr>
        <xdr:cNvSpPr>
          <a:spLocks noChangeArrowheads="1"/>
        </xdr:cNvSpPr>
      </xdr:nvSpPr>
      <xdr:spPr bwMode="auto">
        <a:xfrm>
          <a:off x="257174" y="447676"/>
          <a:ext cx="252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Community &amp; Management</a:t>
          </a:r>
        </a:p>
      </xdr:txBody>
    </xdr:sp>
    <xdr:clientData/>
  </xdr:twoCellAnchor>
  <xdr:twoCellAnchor>
    <xdr:from>
      <xdr:col>3</xdr:col>
      <xdr:colOff>228599</xdr:colOff>
      <xdr:row>1</xdr:row>
      <xdr:rowOff>123825</xdr:rowOff>
    </xdr:from>
    <xdr:to>
      <xdr:col>4</xdr:col>
      <xdr:colOff>979874</xdr:colOff>
      <xdr:row>3</xdr:row>
      <xdr:rowOff>66825</xdr:rowOff>
    </xdr:to>
    <xdr:sp macro="" textlink="">
      <xdr:nvSpPr>
        <xdr:cNvPr id="4" name="Rectangle à coins arrondis 2">
          <a:hlinkClick xmlns:r="http://schemas.openxmlformats.org/officeDocument/2006/relationships" r:id="rId2" tooltip="Scorecard"/>
          <a:extLst>
            <a:ext uri="{FF2B5EF4-FFF2-40B4-BE49-F238E27FC236}">
              <a16:creationId xmlns:a16="http://schemas.microsoft.com/office/drawing/2014/main" id="{00000000-0008-0000-3400-000004000000}"/>
            </a:ext>
          </a:extLst>
        </xdr:cNvPr>
        <xdr:cNvSpPr>
          <a:spLocks noChangeArrowheads="1"/>
        </xdr:cNvSpPr>
      </xdr:nvSpPr>
      <xdr:spPr bwMode="auto">
        <a:xfrm>
          <a:off x="2971799" y="4476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57150</xdr:colOff>
      <xdr:row>20</xdr:row>
      <xdr:rowOff>38100</xdr:rowOff>
    </xdr:from>
    <xdr:to>
      <xdr:col>1</xdr:col>
      <xdr:colOff>453150</xdr:colOff>
      <xdr:row>21</xdr:row>
      <xdr:rowOff>205500</xdr:rowOff>
    </xdr:to>
    <xdr:pic>
      <xdr:nvPicPr>
        <xdr:cNvPr id="16" name="Picture 15">
          <a:extLst>
            <a:ext uri="{FF2B5EF4-FFF2-40B4-BE49-F238E27FC236}">
              <a16:creationId xmlns:a16="http://schemas.microsoft.com/office/drawing/2014/main" id="{00000000-0008-0000-34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150" y="3333750"/>
          <a:ext cx="396000" cy="396000"/>
        </a:xfrm>
        <a:prstGeom prst="rect">
          <a:avLst/>
        </a:prstGeom>
      </xdr:spPr>
    </xdr:pic>
    <xdr:clientData/>
  </xdr:twoCellAnchor>
  <xdr:oneCellAnchor>
    <xdr:from>
      <xdr:col>1</xdr:col>
      <xdr:colOff>28575</xdr:colOff>
      <xdr:row>22</xdr:row>
      <xdr:rowOff>104775</xdr:rowOff>
    </xdr:from>
    <xdr:ext cx="360000" cy="360000"/>
    <xdr:pic>
      <xdr:nvPicPr>
        <xdr:cNvPr id="17" name="Picture 16">
          <a:extLst>
            <a:ext uri="{FF2B5EF4-FFF2-40B4-BE49-F238E27FC236}">
              <a16:creationId xmlns:a16="http://schemas.microsoft.com/office/drawing/2014/main" id="{00000000-0008-0000-34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5" y="3857625"/>
          <a:ext cx="360000" cy="360000"/>
        </a:xfrm>
        <a:prstGeom prst="rect">
          <a:avLst/>
        </a:prstGeom>
      </xdr:spPr>
    </xdr:pic>
    <xdr:clientData/>
  </xdr:oneCellAnchor>
  <xdr:twoCellAnchor>
    <xdr:from>
      <xdr:col>7</xdr:col>
      <xdr:colOff>523875</xdr:colOff>
      <xdr:row>1</xdr:row>
      <xdr:rowOff>114300</xdr:rowOff>
    </xdr:from>
    <xdr:to>
      <xdr:col>7</xdr:col>
      <xdr:colOff>923925</xdr:colOff>
      <xdr:row>3</xdr:row>
      <xdr:rowOff>85725</xdr:rowOff>
    </xdr:to>
    <xdr:sp macro="" textlink="">
      <xdr:nvSpPr>
        <xdr:cNvPr id="7" name="Up Arrow 6">
          <a:hlinkClick xmlns:r="http://schemas.openxmlformats.org/officeDocument/2006/relationships" r:id="rId5" tooltip="Back to top"/>
          <a:extLst>
            <a:ext uri="{FF2B5EF4-FFF2-40B4-BE49-F238E27FC236}">
              <a16:creationId xmlns:a16="http://schemas.microsoft.com/office/drawing/2014/main" id="{00000000-0008-0000-3400-000007000000}"/>
            </a:ext>
          </a:extLst>
        </xdr:cNvPr>
        <xdr:cNvSpPr/>
      </xdr:nvSpPr>
      <xdr:spPr>
        <a:xfrm>
          <a:off x="8220075" y="438150"/>
          <a:ext cx="400050"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oneCellAnchor>
    <xdr:from>
      <xdr:col>1</xdr:col>
      <xdr:colOff>28575</xdr:colOff>
      <xdr:row>55</xdr:row>
      <xdr:rowOff>152400</xdr:rowOff>
    </xdr:from>
    <xdr:ext cx="360000" cy="360000"/>
    <xdr:pic>
      <xdr:nvPicPr>
        <xdr:cNvPr id="9" name="Picture 8">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5" y="12544425"/>
          <a:ext cx="360000" cy="360000"/>
        </a:xfrm>
        <a:prstGeom prst="rect">
          <a:avLst/>
        </a:prstGeom>
      </xdr:spPr>
    </xdr:pic>
    <xdr:clientData/>
  </xdr:oneCellAnchor>
  <xdr:oneCellAnchor>
    <xdr:from>
      <xdr:col>1</xdr:col>
      <xdr:colOff>66675</xdr:colOff>
      <xdr:row>92</xdr:row>
      <xdr:rowOff>104775</xdr:rowOff>
    </xdr:from>
    <xdr:ext cx="360000" cy="360000"/>
    <xdr:pic>
      <xdr:nvPicPr>
        <xdr:cNvPr id="11" name="Picture 10">
          <a:extLst>
            <a:ext uri="{FF2B5EF4-FFF2-40B4-BE49-F238E27FC236}">
              <a16:creationId xmlns:a16="http://schemas.microsoft.com/office/drawing/2014/main" id="{00000000-0008-0000-34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675" y="20659725"/>
          <a:ext cx="360000" cy="360000"/>
        </a:xfrm>
        <a:prstGeom prst="rect">
          <a:avLst/>
        </a:prstGeom>
      </xdr:spPr>
    </xdr:pic>
    <xdr:clientData/>
  </xdr:oneCellAnchor>
  <xdr:twoCellAnchor>
    <xdr:from>
      <xdr:col>5</xdr:col>
      <xdr:colOff>9525</xdr:colOff>
      <xdr:row>1</xdr:row>
      <xdr:rowOff>142875</xdr:rowOff>
    </xdr:from>
    <xdr:to>
      <xdr:col>5</xdr:col>
      <xdr:colOff>873525</xdr:colOff>
      <xdr:row>3</xdr:row>
      <xdr:rowOff>49875</xdr:rowOff>
    </xdr:to>
    <xdr:sp macro="" textlink="">
      <xdr:nvSpPr>
        <xdr:cNvPr id="12" name="Rectangle à coins arrondis 2">
          <a:hlinkClick xmlns:r="http://schemas.openxmlformats.org/officeDocument/2006/relationships" r:id="rId6" tooltip="Strategy A"/>
          <a:extLst>
            <a:ext uri="{FF2B5EF4-FFF2-40B4-BE49-F238E27FC236}">
              <a16:creationId xmlns:a16="http://schemas.microsoft.com/office/drawing/2014/main" id="{00000000-0008-0000-3400-00000C000000}"/>
            </a:ext>
          </a:extLst>
        </xdr:cNvPr>
        <xdr:cNvSpPr>
          <a:spLocks noChangeArrowheads="1"/>
        </xdr:cNvSpPr>
      </xdr:nvSpPr>
      <xdr:spPr bwMode="auto">
        <a:xfrm>
          <a:off x="5210175" y="466725"/>
          <a:ext cx="864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962025</xdr:colOff>
      <xdr:row>1</xdr:row>
      <xdr:rowOff>142875</xdr:rowOff>
    </xdr:from>
    <xdr:to>
      <xdr:col>6</xdr:col>
      <xdr:colOff>578250</xdr:colOff>
      <xdr:row>3</xdr:row>
      <xdr:rowOff>49875</xdr:rowOff>
    </xdr:to>
    <xdr:sp macro="" textlink="">
      <xdr:nvSpPr>
        <xdr:cNvPr id="13" name="Rectangle à coins arrondis 2">
          <a:hlinkClick xmlns:r="http://schemas.openxmlformats.org/officeDocument/2006/relationships" r:id="rId7" tooltip="Strategy B"/>
          <a:extLst>
            <a:ext uri="{FF2B5EF4-FFF2-40B4-BE49-F238E27FC236}">
              <a16:creationId xmlns:a16="http://schemas.microsoft.com/office/drawing/2014/main" id="{00000000-0008-0000-3400-00000D000000}"/>
            </a:ext>
          </a:extLst>
        </xdr:cNvPr>
        <xdr:cNvSpPr>
          <a:spLocks noChangeArrowheads="1"/>
        </xdr:cNvSpPr>
      </xdr:nvSpPr>
      <xdr:spPr bwMode="auto">
        <a:xfrm>
          <a:off x="6162675" y="466725"/>
          <a:ext cx="864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6</xdr:col>
      <xdr:colOff>666750</xdr:colOff>
      <xdr:row>1</xdr:row>
      <xdr:rowOff>142875</xdr:rowOff>
    </xdr:from>
    <xdr:to>
      <xdr:col>7</xdr:col>
      <xdr:colOff>282975</xdr:colOff>
      <xdr:row>3</xdr:row>
      <xdr:rowOff>49875</xdr:rowOff>
    </xdr:to>
    <xdr:sp macro="" textlink="">
      <xdr:nvSpPr>
        <xdr:cNvPr id="14" name="Rectangle à coins arrondis 2">
          <a:hlinkClick xmlns:r="http://schemas.openxmlformats.org/officeDocument/2006/relationships" r:id="rId8" tooltip="Strategy C"/>
          <a:extLst>
            <a:ext uri="{FF2B5EF4-FFF2-40B4-BE49-F238E27FC236}">
              <a16:creationId xmlns:a16="http://schemas.microsoft.com/office/drawing/2014/main" id="{00000000-0008-0000-3400-00000E000000}"/>
            </a:ext>
          </a:extLst>
        </xdr:cNvPr>
        <xdr:cNvSpPr>
          <a:spLocks noChangeArrowheads="1"/>
        </xdr:cNvSpPr>
      </xdr:nvSpPr>
      <xdr:spPr bwMode="auto">
        <a:xfrm>
          <a:off x="7115175" y="466725"/>
          <a:ext cx="864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oneCellAnchor>
    <xdr:from>
      <xdr:col>1</xdr:col>
      <xdr:colOff>0</xdr:colOff>
      <xdr:row>48</xdr:row>
      <xdr:rowOff>95250</xdr:rowOff>
    </xdr:from>
    <xdr:ext cx="396000" cy="396000"/>
    <xdr:pic>
      <xdr:nvPicPr>
        <xdr:cNvPr id="15" name="Picture 14">
          <a:extLst>
            <a:ext uri="{FF2B5EF4-FFF2-40B4-BE49-F238E27FC236}">
              <a16:creationId xmlns:a16="http://schemas.microsoft.com/office/drawing/2014/main" id="{00000000-0008-0000-34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11268075"/>
          <a:ext cx="396000" cy="396000"/>
        </a:xfrm>
        <a:prstGeom prst="rect">
          <a:avLst/>
        </a:prstGeom>
      </xdr:spPr>
    </xdr:pic>
    <xdr:clientData/>
  </xdr:oneCellAnchor>
  <xdr:oneCellAnchor>
    <xdr:from>
      <xdr:col>1</xdr:col>
      <xdr:colOff>66675</xdr:colOff>
      <xdr:row>51</xdr:row>
      <xdr:rowOff>133350</xdr:rowOff>
    </xdr:from>
    <xdr:ext cx="468000" cy="468000"/>
    <xdr:pic>
      <xdr:nvPicPr>
        <xdr:cNvPr id="18" name="Picture 17">
          <a:extLst>
            <a:ext uri="{FF2B5EF4-FFF2-40B4-BE49-F238E27FC236}">
              <a16:creationId xmlns:a16="http://schemas.microsoft.com/office/drawing/2014/main" id="{00000000-0008-0000-34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5219700"/>
          <a:ext cx="468000" cy="468000"/>
        </a:xfrm>
        <a:prstGeom prst="rect">
          <a:avLst/>
        </a:prstGeom>
      </xdr:spPr>
    </xdr:pic>
    <xdr:clientData/>
  </xdr:oneCellAnchor>
  <xdr:oneCellAnchor>
    <xdr:from>
      <xdr:col>1</xdr:col>
      <xdr:colOff>0</xdr:colOff>
      <xdr:row>86</xdr:row>
      <xdr:rowOff>95250</xdr:rowOff>
    </xdr:from>
    <xdr:ext cx="396000" cy="396000"/>
    <xdr:pic>
      <xdr:nvPicPr>
        <xdr:cNvPr id="19" name="Picture 18">
          <a:extLst>
            <a:ext uri="{FF2B5EF4-FFF2-40B4-BE49-F238E27FC236}">
              <a16:creationId xmlns:a16="http://schemas.microsoft.com/office/drawing/2014/main" id="{00000000-0008-0000-34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19354800"/>
          <a:ext cx="396000" cy="396000"/>
        </a:xfrm>
        <a:prstGeom prst="rect">
          <a:avLst/>
        </a:prstGeom>
      </xdr:spPr>
    </xdr:pic>
    <xdr:clientData/>
  </xdr:oneCellAnchor>
  <xdr:oneCellAnchor>
    <xdr:from>
      <xdr:col>1</xdr:col>
      <xdr:colOff>47625</xdr:colOff>
      <xdr:row>89</xdr:row>
      <xdr:rowOff>66675</xdr:rowOff>
    </xdr:from>
    <xdr:ext cx="468000" cy="468000"/>
    <xdr:pic>
      <xdr:nvPicPr>
        <xdr:cNvPr id="20" name="Picture 19">
          <a:extLst>
            <a:ext uri="{FF2B5EF4-FFF2-40B4-BE49-F238E27FC236}">
              <a16:creationId xmlns:a16="http://schemas.microsoft.com/office/drawing/2014/main" id="{00000000-0008-0000-34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 y="21278850"/>
          <a:ext cx="468000" cy="468000"/>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333374</xdr:colOff>
      <xdr:row>1</xdr:row>
      <xdr:rowOff>123826</xdr:rowOff>
    </xdr:from>
    <xdr:to>
      <xdr:col>3</xdr:col>
      <xdr:colOff>110174</xdr:colOff>
      <xdr:row>3</xdr:row>
      <xdr:rowOff>66826</xdr:rowOff>
    </xdr:to>
    <xdr:sp macro="" textlink="">
      <xdr:nvSpPr>
        <xdr:cNvPr id="2" name="Rectangle à coins arrondis 2">
          <a:hlinkClick xmlns:r="http://schemas.openxmlformats.org/officeDocument/2006/relationships" r:id="rId1" tooltip="Back to C&amp;M"/>
          <a:extLst>
            <a:ext uri="{FF2B5EF4-FFF2-40B4-BE49-F238E27FC236}">
              <a16:creationId xmlns:a16="http://schemas.microsoft.com/office/drawing/2014/main" id="{00000000-0008-0000-3500-000002000000}"/>
            </a:ext>
          </a:extLst>
        </xdr:cNvPr>
        <xdr:cNvSpPr>
          <a:spLocks noChangeArrowheads="1"/>
        </xdr:cNvSpPr>
      </xdr:nvSpPr>
      <xdr:spPr bwMode="auto">
        <a:xfrm>
          <a:off x="333374" y="447676"/>
          <a:ext cx="252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Community &amp; Management</a:t>
          </a:r>
        </a:p>
      </xdr:txBody>
    </xdr:sp>
    <xdr:clientData/>
  </xdr:twoCellAnchor>
  <xdr:twoCellAnchor>
    <xdr:from>
      <xdr:col>3</xdr:col>
      <xdr:colOff>533399</xdr:colOff>
      <xdr:row>1</xdr:row>
      <xdr:rowOff>123825</xdr:rowOff>
    </xdr:from>
    <xdr:to>
      <xdr:col>5</xdr:col>
      <xdr:colOff>235949</xdr:colOff>
      <xdr:row>3</xdr:row>
      <xdr:rowOff>66825</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3500-000003000000}"/>
            </a:ext>
          </a:extLst>
        </xdr:cNvPr>
        <xdr:cNvSpPr>
          <a:spLocks noChangeArrowheads="1"/>
        </xdr:cNvSpPr>
      </xdr:nvSpPr>
      <xdr:spPr bwMode="auto">
        <a:xfrm>
          <a:off x="3276599" y="4476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9525</xdr:colOff>
      <xdr:row>14</xdr:row>
      <xdr:rowOff>104775</xdr:rowOff>
    </xdr:from>
    <xdr:to>
      <xdr:col>1</xdr:col>
      <xdr:colOff>405525</xdr:colOff>
      <xdr:row>16</xdr:row>
      <xdr:rowOff>81675</xdr:rowOff>
    </xdr:to>
    <xdr:pic>
      <xdr:nvPicPr>
        <xdr:cNvPr id="4" name="Picture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0525" y="3209925"/>
          <a:ext cx="396000" cy="396000"/>
        </a:xfrm>
        <a:prstGeom prst="rect">
          <a:avLst/>
        </a:prstGeom>
      </xdr:spPr>
    </xdr:pic>
    <xdr:clientData/>
  </xdr:twoCellAnchor>
  <xdr:oneCellAnchor>
    <xdr:from>
      <xdr:col>1</xdr:col>
      <xdr:colOff>28575</xdr:colOff>
      <xdr:row>17</xdr:row>
      <xdr:rowOff>104775</xdr:rowOff>
    </xdr:from>
    <xdr:ext cx="360000" cy="360000"/>
    <xdr:pic>
      <xdr:nvPicPr>
        <xdr:cNvPr id="5" name="Picture 4">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5" y="3857625"/>
          <a:ext cx="360000" cy="360000"/>
        </a:xfrm>
        <a:prstGeom prst="rect">
          <a:avLst/>
        </a:prstGeom>
      </xdr:spPr>
    </xdr:pic>
    <xdr:clientData/>
  </xdr:oneCellAnchor>
  <xdr:twoCellAnchor>
    <xdr:from>
      <xdr:col>7</xdr:col>
      <xdr:colOff>180975</xdr:colOff>
      <xdr:row>1</xdr:row>
      <xdr:rowOff>114300</xdr:rowOff>
    </xdr:from>
    <xdr:to>
      <xdr:col>7</xdr:col>
      <xdr:colOff>581025</xdr:colOff>
      <xdr:row>3</xdr:row>
      <xdr:rowOff>85725</xdr:rowOff>
    </xdr:to>
    <xdr:sp macro="" textlink="">
      <xdr:nvSpPr>
        <xdr:cNvPr id="6" name="Up Arrow 5">
          <a:hlinkClick xmlns:r="http://schemas.openxmlformats.org/officeDocument/2006/relationships" r:id="rId5" tooltip="Back to top"/>
          <a:extLst>
            <a:ext uri="{FF2B5EF4-FFF2-40B4-BE49-F238E27FC236}">
              <a16:creationId xmlns:a16="http://schemas.microsoft.com/office/drawing/2014/main" id="{00000000-0008-0000-3500-000006000000}"/>
            </a:ext>
          </a:extLst>
        </xdr:cNvPr>
        <xdr:cNvSpPr/>
      </xdr:nvSpPr>
      <xdr:spPr>
        <a:xfrm>
          <a:off x="7877175" y="438150"/>
          <a:ext cx="400050"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200024</xdr:colOff>
      <xdr:row>1</xdr:row>
      <xdr:rowOff>133351</xdr:rowOff>
    </xdr:from>
    <xdr:to>
      <xdr:col>2</xdr:col>
      <xdr:colOff>570299</xdr:colOff>
      <xdr:row>3</xdr:row>
      <xdr:rowOff>76351</xdr:rowOff>
    </xdr:to>
    <xdr:sp macro="" textlink="">
      <xdr:nvSpPr>
        <xdr:cNvPr id="2" name="Rectangle à coins arrondis 2">
          <a:hlinkClick xmlns:r="http://schemas.openxmlformats.org/officeDocument/2006/relationships" r:id="rId1" tooltip="Back to C&amp;M"/>
          <a:extLst>
            <a:ext uri="{FF2B5EF4-FFF2-40B4-BE49-F238E27FC236}">
              <a16:creationId xmlns:a16="http://schemas.microsoft.com/office/drawing/2014/main" id="{00000000-0008-0000-3600-000002000000}"/>
            </a:ext>
          </a:extLst>
        </xdr:cNvPr>
        <xdr:cNvSpPr>
          <a:spLocks noChangeArrowheads="1"/>
        </xdr:cNvSpPr>
      </xdr:nvSpPr>
      <xdr:spPr bwMode="auto">
        <a:xfrm>
          <a:off x="200024" y="457201"/>
          <a:ext cx="198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C&amp;M </a:t>
          </a:r>
        </a:p>
      </xdr:txBody>
    </xdr:sp>
    <xdr:clientData/>
  </xdr:twoCellAnchor>
  <xdr:twoCellAnchor>
    <xdr:from>
      <xdr:col>2</xdr:col>
      <xdr:colOff>885825</xdr:colOff>
      <xdr:row>1</xdr:row>
      <xdr:rowOff>133350</xdr:rowOff>
    </xdr:from>
    <xdr:to>
      <xdr:col>4</xdr:col>
      <xdr:colOff>503625</xdr:colOff>
      <xdr:row>3</xdr:row>
      <xdr:rowOff>76350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3600-000003000000}"/>
            </a:ext>
          </a:extLst>
        </xdr:cNvPr>
        <xdr:cNvSpPr>
          <a:spLocks noChangeArrowheads="1"/>
        </xdr:cNvSpPr>
      </xdr:nvSpPr>
      <xdr:spPr bwMode="auto">
        <a:xfrm>
          <a:off x="2495550" y="45720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1028700</xdr:colOff>
      <xdr:row>1</xdr:row>
      <xdr:rowOff>161925</xdr:rowOff>
    </xdr:from>
    <xdr:to>
      <xdr:col>5</xdr:col>
      <xdr:colOff>699975</xdr:colOff>
      <xdr:row>3</xdr:row>
      <xdr:rowOff>68925</xdr:rowOff>
    </xdr:to>
    <xdr:sp macro="" textlink="">
      <xdr:nvSpPr>
        <xdr:cNvPr id="22" name="Rectangle à coins arrondis 2">
          <a:hlinkClick xmlns:r="http://schemas.openxmlformats.org/officeDocument/2006/relationships" r:id="rId3" tooltip="CM-BPC-1"/>
          <a:extLst>
            <a:ext uri="{FF2B5EF4-FFF2-40B4-BE49-F238E27FC236}">
              <a16:creationId xmlns:a16="http://schemas.microsoft.com/office/drawing/2014/main" id="{00000000-0008-0000-3600-000016000000}"/>
            </a:ext>
          </a:extLst>
        </xdr:cNvPr>
        <xdr:cNvSpPr>
          <a:spLocks noChangeArrowheads="1"/>
        </xdr:cNvSpPr>
      </xdr:nvSpPr>
      <xdr:spPr bwMode="auto">
        <a:xfrm>
          <a:off x="5000625" y="48577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CM-BPC-1</a:t>
          </a:r>
        </a:p>
      </xdr:txBody>
    </xdr:sp>
    <xdr:clientData/>
  </xdr:twoCellAnchor>
  <xdr:twoCellAnchor>
    <xdr:from>
      <xdr:col>5</xdr:col>
      <xdr:colOff>762000</xdr:colOff>
      <xdr:row>1</xdr:row>
      <xdr:rowOff>161925</xdr:rowOff>
    </xdr:from>
    <xdr:to>
      <xdr:col>6</xdr:col>
      <xdr:colOff>433275</xdr:colOff>
      <xdr:row>3</xdr:row>
      <xdr:rowOff>68925</xdr:rowOff>
    </xdr:to>
    <xdr:sp macro="" textlink="">
      <xdr:nvSpPr>
        <xdr:cNvPr id="23" name="Rectangle à coins arrondis 2">
          <a:hlinkClick xmlns:r="http://schemas.openxmlformats.org/officeDocument/2006/relationships" r:id="rId4" tooltip="CM-BPC-2"/>
          <a:extLst>
            <a:ext uri="{FF2B5EF4-FFF2-40B4-BE49-F238E27FC236}">
              <a16:creationId xmlns:a16="http://schemas.microsoft.com/office/drawing/2014/main" id="{00000000-0008-0000-3600-000017000000}"/>
            </a:ext>
          </a:extLst>
        </xdr:cNvPr>
        <xdr:cNvSpPr>
          <a:spLocks noChangeArrowheads="1"/>
        </xdr:cNvSpPr>
      </xdr:nvSpPr>
      <xdr:spPr bwMode="auto">
        <a:xfrm>
          <a:off x="5962650" y="48577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CM-BPC-2</a:t>
          </a:r>
        </a:p>
      </xdr:txBody>
    </xdr:sp>
    <xdr:clientData/>
  </xdr:twoCellAnchor>
  <xdr:twoCellAnchor>
    <xdr:from>
      <xdr:col>6</xdr:col>
      <xdr:colOff>504825</xdr:colOff>
      <xdr:row>1</xdr:row>
      <xdr:rowOff>161925</xdr:rowOff>
    </xdr:from>
    <xdr:to>
      <xdr:col>7</xdr:col>
      <xdr:colOff>185625</xdr:colOff>
      <xdr:row>3</xdr:row>
      <xdr:rowOff>68925</xdr:rowOff>
    </xdr:to>
    <xdr:sp macro="" textlink="">
      <xdr:nvSpPr>
        <xdr:cNvPr id="24" name="Rectangle à coins arrondis 2">
          <a:hlinkClick xmlns:r="http://schemas.openxmlformats.org/officeDocument/2006/relationships" r:id="rId5" tooltip="CM-BPC-3"/>
          <a:extLst>
            <a:ext uri="{FF2B5EF4-FFF2-40B4-BE49-F238E27FC236}">
              <a16:creationId xmlns:a16="http://schemas.microsoft.com/office/drawing/2014/main" id="{00000000-0008-0000-3600-000018000000}"/>
            </a:ext>
          </a:extLst>
        </xdr:cNvPr>
        <xdr:cNvSpPr>
          <a:spLocks noChangeArrowheads="1"/>
        </xdr:cNvSpPr>
      </xdr:nvSpPr>
      <xdr:spPr bwMode="auto">
        <a:xfrm>
          <a:off x="6934200" y="48577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CM-BPC-3</a:t>
          </a:r>
        </a:p>
      </xdr:txBody>
    </xdr:sp>
    <xdr:clientData/>
  </xdr:twoCellAnchor>
  <xdr:twoCellAnchor editAs="oneCell">
    <xdr:from>
      <xdr:col>1</xdr:col>
      <xdr:colOff>0</xdr:colOff>
      <xdr:row>19</xdr:row>
      <xdr:rowOff>95250</xdr:rowOff>
    </xdr:from>
    <xdr:to>
      <xdr:col>1</xdr:col>
      <xdr:colOff>396000</xdr:colOff>
      <xdr:row>21</xdr:row>
      <xdr:rowOff>110250</xdr:rowOff>
    </xdr:to>
    <xdr:pic>
      <xdr:nvPicPr>
        <xdr:cNvPr id="13" name="Picture 12">
          <a:extLst>
            <a:ext uri="{FF2B5EF4-FFF2-40B4-BE49-F238E27FC236}">
              <a16:creationId xmlns:a16="http://schemas.microsoft.com/office/drawing/2014/main" id="{00000000-0008-0000-36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3781425"/>
          <a:ext cx="396000" cy="396000"/>
        </a:xfrm>
        <a:prstGeom prst="rect">
          <a:avLst/>
        </a:prstGeom>
      </xdr:spPr>
    </xdr:pic>
    <xdr:clientData/>
  </xdr:twoCellAnchor>
  <xdr:twoCellAnchor editAs="oneCell">
    <xdr:from>
      <xdr:col>1</xdr:col>
      <xdr:colOff>28575</xdr:colOff>
      <xdr:row>21</xdr:row>
      <xdr:rowOff>190500</xdr:rowOff>
    </xdr:from>
    <xdr:to>
      <xdr:col>1</xdr:col>
      <xdr:colOff>388575</xdr:colOff>
      <xdr:row>23</xdr:row>
      <xdr:rowOff>83775</xdr:rowOff>
    </xdr:to>
    <xdr:pic>
      <xdr:nvPicPr>
        <xdr:cNvPr id="14" name="Picture 13">
          <a:extLst>
            <a:ext uri="{FF2B5EF4-FFF2-40B4-BE49-F238E27FC236}">
              <a16:creationId xmlns:a16="http://schemas.microsoft.com/office/drawing/2014/main" id="{00000000-0008-0000-36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9575" y="4257675"/>
          <a:ext cx="360000" cy="360000"/>
        </a:xfrm>
        <a:prstGeom prst="rect">
          <a:avLst/>
        </a:prstGeom>
      </xdr:spPr>
    </xdr:pic>
    <xdr:clientData/>
  </xdr:twoCellAnchor>
  <xdr:oneCellAnchor>
    <xdr:from>
      <xdr:col>1</xdr:col>
      <xdr:colOff>38100</xdr:colOff>
      <xdr:row>48</xdr:row>
      <xdr:rowOff>142875</xdr:rowOff>
    </xdr:from>
    <xdr:ext cx="360000" cy="360000"/>
    <xdr:pic>
      <xdr:nvPicPr>
        <xdr:cNvPr id="15" name="Picture 14">
          <a:extLst>
            <a:ext uri="{FF2B5EF4-FFF2-40B4-BE49-F238E27FC236}">
              <a16:creationId xmlns:a16="http://schemas.microsoft.com/office/drawing/2014/main" id="{00000000-0008-0000-36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9100" y="9982200"/>
          <a:ext cx="360000" cy="360000"/>
        </a:xfrm>
        <a:prstGeom prst="rect">
          <a:avLst/>
        </a:prstGeom>
      </xdr:spPr>
    </xdr:pic>
    <xdr:clientData/>
  </xdr:oneCellAnchor>
  <xdr:twoCellAnchor editAs="oneCell">
    <xdr:from>
      <xdr:col>1</xdr:col>
      <xdr:colOff>9525</xdr:colOff>
      <xdr:row>46</xdr:row>
      <xdr:rowOff>85725</xdr:rowOff>
    </xdr:from>
    <xdr:to>
      <xdr:col>1</xdr:col>
      <xdr:colOff>405525</xdr:colOff>
      <xdr:row>48</xdr:row>
      <xdr:rowOff>100725</xdr:rowOff>
    </xdr:to>
    <xdr:pic>
      <xdr:nvPicPr>
        <xdr:cNvPr id="16" name="Picture 15">
          <a:extLst>
            <a:ext uri="{FF2B5EF4-FFF2-40B4-BE49-F238E27FC236}">
              <a16:creationId xmlns:a16="http://schemas.microsoft.com/office/drawing/2014/main" id="{00000000-0008-0000-36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0525" y="9544050"/>
          <a:ext cx="396000" cy="396000"/>
        </a:xfrm>
        <a:prstGeom prst="rect">
          <a:avLst/>
        </a:prstGeom>
      </xdr:spPr>
    </xdr:pic>
    <xdr:clientData/>
  </xdr:twoCellAnchor>
  <xdr:twoCellAnchor editAs="oneCell">
    <xdr:from>
      <xdr:col>1</xdr:col>
      <xdr:colOff>0</xdr:colOff>
      <xdr:row>67</xdr:row>
      <xdr:rowOff>104775</xdr:rowOff>
    </xdr:from>
    <xdr:to>
      <xdr:col>1</xdr:col>
      <xdr:colOff>396000</xdr:colOff>
      <xdr:row>69</xdr:row>
      <xdr:rowOff>81675</xdr:rowOff>
    </xdr:to>
    <xdr:pic>
      <xdr:nvPicPr>
        <xdr:cNvPr id="17" name="Picture 16">
          <a:extLst>
            <a:ext uri="{FF2B5EF4-FFF2-40B4-BE49-F238E27FC236}">
              <a16:creationId xmlns:a16="http://schemas.microsoft.com/office/drawing/2014/main" id="{00000000-0008-0000-36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14382750"/>
          <a:ext cx="396000" cy="396000"/>
        </a:xfrm>
        <a:prstGeom prst="rect">
          <a:avLst/>
        </a:prstGeom>
      </xdr:spPr>
    </xdr:pic>
    <xdr:clientData/>
  </xdr:twoCellAnchor>
  <xdr:twoCellAnchor editAs="oneCell">
    <xdr:from>
      <xdr:col>1</xdr:col>
      <xdr:colOff>57150</xdr:colOff>
      <xdr:row>71</xdr:row>
      <xdr:rowOff>104775</xdr:rowOff>
    </xdr:from>
    <xdr:to>
      <xdr:col>1</xdr:col>
      <xdr:colOff>633150</xdr:colOff>
      <xdr:row>73</xdr:row>
      <xdr:rowOff>128325</xdr:rowOff>
    </xdr:to>
    <xdr:pic>
      <xdr:nvPicPr>
        <xdr:cNvPr id="18" name="Picture 17">
          <a:extLst>
            <a:ext uri="{FF2B5EF4-FFF2-40B4-BE49-F238E27FC236}">
              <a16:creationId xmlns:a16="http://schemas.microsoft.com/office/drawing/2014/main" id="{00000000-0008-0000-36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 y="15963900"/>
          <a:ext cx="576000" cy="576000"/>
        </a:xfrm>
        <a:prstGeom prst="rect">
          <a:avLst/>
        </a:prstGeom>
      </xdr:spPr>
    </xdr:pic>
    <xdr:clientData/>
  </xdr:twoCellAnchor>
  <xdr:twoCellAnchor>
    <xdr:from>
      <xdr:col>7</xdr:col>
      <xdr:colOff>1400175</xdr:colOff>
      <xdr:row>1</xdr:row>
      <xdr:rowOff>95250</xdr:rowOff>
    </xdr:from>
    <xdr:to>
      <xdr:col>8</xdr:col>
      <xdr:colOff>352425</xdr:colOff>
      <xdr:row>3</xdr:row>
      <xdr:rowOff>66675</xdr:rowOff>
    </xdr:to>
    <xdr:sp macro="" textlink="">
      <xdr:nvSpPr>
        <xdr:cNvPr id="19" name="Up Arrow 18">
          <a:hlinkClick xmlns:r="http://schemas.openxmlformats.org/officeDocument/2006/relationships" r:id="rId9" tooltip="Back to top"/>
          <a:extLst>
            <a:ext uri="{FF2B5EF4-FFF2-40B4-BE49-F238E27FC236}">
              <a16:creationId xmlns:a16="http://schemas.microsoft.com/office/drawing/2014/main" id="{00000000-0008-0000-3600-000013000000}"/>
            </a:ext>
          </a:extLst>
        </xdr:cNvPr>
        <xdr:cNvSpPr/>
      </xdr:nvSpPr>
      <xdr:spPr>
        <a:xfrm>
          <a:off x="9048750" y="419100"/>
          <a:ext cx="400050"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oneCellAnchor>
    <xdr:from>
      <xdr:col>1</xdr:col>
      <xdr:colOff>0</xdr:colOff>
      <xdr:row>99</xdr:row>
      <xdr:rowOff>104775</xdr:rowOff>
    </xdr:from>
    <xdr:ext cx="396000" cy="396000"/>
    <xdr:pic>
      <xdr:nvPicPr>
        <xdr:cNvPr id="20" name="Picture 19">
          <a:extLst>
            <a:ext uri="{FF2B5EF4-FFF2-40B4-BE49-F238E27FC236}">
              <a16:creationId xmlns:a16="http://schemas.microsoft.com/office/drawing/2014/main" id="{00000000-0008-0000-36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14668500"/>
          <a:ext cx="396000" cy="396000"/>
        </a:xfrm>
        <a:prstGeom prst="rect">
          <a:avLst/>
        </a:prstGeom>
      </xdr:spPr>
    </xdr:pic>
    <xdr:clientData/>
  </xdr:oneCellAnchor>
  <xdr:twoCellAnchor>
    <xdr:from>
      <xdr:col>7</xdr:col>
      <xdr:colOff>238125</xdr:colOff>
      <xdr:row>1</xdr:row>
      <xdr:rowOff>161925</xdr:rowOff>
    </xdr:from>
    <xdr:to>
      <xdr:col>7</xdr:col>
      <xdr:colOff>1138125</xdr:colOff>
      <xdr:row>3</xdr:row>
      <xdr:rowOff>68925</xdr:rowOff>
    </xdr:to>
    <xdr:sp macro="" textlink="">
      <xdr:nvSpPr>
        <xdr:cNvPr id="25" name="Rectangle à coins arrondis 2">
          <a:hlinkClick xmlns:r="http://schemas.openxmlformats.org/officeDocument/2006/relationships" r:id="rId10" tooltip="CM-BPC-4"/>
          <a:extLst>
            <a:ext uri="{FF2B5EF4-FFF2-40B4-BE49-F238E27FC236}">
              <a16:creationId xmlns:a16="http://schemas.microsoft.com/office/drawing/2014/main" id="{00000000-0008-0000-3600-000019000000}"/>
            </a:ext>
          </a:extLst>
        </xdr:cNvPr>
        <xdr:cNvSpPr>
          <a:spLocks noChangeArrowheads="1"/>
        </xdr:cNvSpPr>
      </xdr:nvSpPr>
      <xdr:spPr bwMode="auto">
        <a:xfrm>
          <a:off x="7886700" y="48577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CM-BPC-4</a:t>
          </a:r>
        </a:p>
      </xdr:txBody>
    </xdr:sp>
    <xdr:clientData/>
  </xdr:twoCellAnchor>
  <xdr:twoCellAnchor editAs="oneCell">
    <xdr:from>
      <xdr:col>1</xdr:col>
      <xdr:colOff>47625</xdr:colOff>
      <xdr:row>102</xdr:row>
      <xdr:rowOff>161925</xdr:rowOff>
    </xdr:from>
    <xdr:to>
      <xdr:col>1</xdr:col>
      <xdr:colOff>549671</xdr:colOff>
      <xdr:row>105</xdr:row>
      <xdr:rowOff>75375</xdr:rowOff>
    </xdr:to>
    <xdr:pic>
      <xdr:nvPicPr>
        <xdr:cNvPr id="4" name="Picture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28625" y="22850475"/>
          <a:ext cx="502046" cy="504000"/>
        </a:xfrm>
        <a:prstGeom prst="rect">
          <a:avLst/>
        </a:prstGeom>
      </xdr:spPr>
    </xdr:pic>
    <xdr:clientData/>
  </xdr:twoCellAnchor>
  <xdr:oneCellAnchor>
    <xdr:from>
      <xdr:col>1</xdr:col>
      <xdr:colOff>38100</xdr:colOff>
      <xdr:row>106</xdr:row>
      <xdr:rowOff>142875</xdr:rowOff>
    </xdr:from>
    <xdr:ext cx="360000" cy="360000"/>
    <xdr:pic>
      <xdr:nvPicPr>
        <xdr:cNvPr id="26" name="Picture 25">
          <a:extLst>
            <a:ext uri="{FF2B5EF4-FFF2-40B4-BE49-F238E27FC236}">
              <a16:creationId xmlns:a16="http://schemas.microsoft.com/office/drawing/2014/main" id="{00000000-0008-0000-3600-00001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9100" y="11115675"/>
          <a:ext cx="360000" cy="360000"/>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editAs="oneCell">
    <xdr:from>
      <xdr:col>9</xdr:col>
      <xdr:colOff>105833</xdr:colOff>
      <xdr:row>0</xdr:row>
      <xdr:rowOff>42333</xdr:rowOff>
    </xdr:from>
    <xdr:to>
      <xdr:col>11</xdr:col>
      <xdr:colOff>212083</xdr:colOff>
      <xdr:row>2</xdr:row>
      <xdr:rowOff>210009</xdr:rowOff>
    </xdr:to>
    <xdr:pic>
      <xdr:nvPicPr>
        <xdr:cNvPr id="5" name="Image 2" descr="Innovation.png">
          <a:extLst>
            <a:ext uri="{FF2B5EF4-FFF2-40B4-BE49-F238E27FC236}">
              <a16:creationId xmlns:a16="http://schemas.microsoft.com/office/drawing/2014/main" id="{00000000-0008-0000-3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0562166" y="42333"/>
          <a:ext cx="900000" cy="908509"/>
        </a:xfrm>
        <a:prstGeom prst="rect">
          <a:avLst/>
        </a:prstGeom>
        <a:noFill/>
        <a:ln w="9525">
          <a:noFill/>
          <a:miter lim="800000"/>
          <a:headEnd/>
          <a:tailEnd/>
        </a:ln>
      </xdr:spPr>
    </xdr:pic>
    <xdr:clientData/>
  </xdr:twoCellAnchor>
  <xdr:twoCellAnchor>
    <xdr:from>
      <xdr:col>1</xdr:col>
      <xdr:colOff>0</xdr:colOff>
      <xdr:row>10</xdr:row>
      <xdr:rowOff>10583</xdr:rowOff>
    </xdr:from>
    <xdr:to>
      <xdr:col>1</xdr:col>
      <xdr:colOff>1980000</xdr:colOff>
      <xdr:row>12</xdr:row>
      <xdr:rowOff>25583</xdr:rowOff>
    </xdr:to>
    <xdr:sp macro="" textlink="">
      <xdr:nvSpPr>
        <xdr:cNvPr id="6" name="Rectangle à coins arrondis 2">
          <a:hlinkClick xmlns:r="http://schemas.openxmlformats.org/officeDocument/2006/relationships" r:id="rId2" tooltip="Scorecard"/>
          <a:extLst>
            <a:ext uri="{FF2B5EF4-FFF2-40B4-BE49-F238E27FC236}">
              <a16:creationId xmlns:a16="http://schemas.microsoft.com/office/drawing/2014/main" id="{00000000-0008-0000-3700-000006000000}"/>
            </a:ext>
          </a:extLst>
        </xdr:cNvPr>
        <xdr:cNvSpPr>
          <a:spLocks noChangeArrowheads="1"/>
        </xdr:cNvSpPr>
      </xdr:nvSpPr>
      <xdr:spPr bwMode="auto">
        <a:xfrm>
          <a:off x="381000" y="2741083"/>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9525</xdr:colOff>
      <xdr:row>14</xdr:row>
      <xdr:rowOff>57150</xdr:rowOff>
    </xdr:from>
    <xdr:to>
      <xdr:col>1</xdr:col>
      <xdr:colOff>405525</xdr:colOff>
      <xdr:row>16</xdr:row>
      <xdr:rowOff>72150</xdr:rowOff>
    </xdr:to>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3190875"/>
          <a:ext cx="396000" cy="396000"/>
        </a:xfrm>
        <a:prstGeom prst="rect">
          <a:avLst/>
        </a:prstGeom>
      </xdr:spPr>
    </xdr:pic>
    <xdr:clientData/>
  </xdr:twoCellAnchor>
  <xdr:twoCellAnchor>
    <xdr:from>
      <xdr:col>0</xdr:col>
      <xdr:colOff>295275</xdr:colOff>
      <xdr:row>1</xdr:row>
      <xdr:rowOff>123825</xdr:rowOff>
    </xdr:from>
    <xdr:to>
      <xdr:col>2</xdr:col>
      <xdr:colOff>912225</xdr:colOff>
      <xdr:row>3</xdr:row>
      <xdr:rowOff>66825</xdr:rowOff>
    </xdr:to>
    <xdr:sp macro="" textlink="">
      <xdr:nvSpPr>
        <xdr:cNvPr id="3" name="Rectangle à coins arrondis 2">
          <a:hlinkClick xmlns:r="http://schemas.openxmlformats.org/officeDocument/2006/relationships" r:id="rId2" tooltip="Back to Innovation"/>
          <a:extLst>
            <a:ext uri="{FF2B5EF4-FFF2-40B4-BE49-F238E27FC236}">
              <a16:creationId xmlns:a16="http://schemas.microsoft.com/office/drawing/2014/main" id="{00000000-0008-0000-3800-000003000000}"/>
            </a:ext>
          </a:extLst>
        </xdr:cNvPr>
        <xdr:cNvSpPr>
          <a:spLocks noChangeArrowheads="1"/>
        </xdr:cNvSpPr>
      </xdr:nvSpPr>
      <xdr:spPr bwMode="auto">
        <a:xfrm>
          <a:off x="295275" y="447675"/>
          <a:ext cx="2160000" cy="324000"/>
        </a:xfrm>
        <a:prstGeom prst="roundRect">
          <a:avLst>
            <a:gd name="adj" fmla="val 16667"/>
          </a:avLst>
        </a:prstGeom>
        <a:solidFill>
          <a:srgbClr val="FFC00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Innovation</a:t>
          </a:r>
        </a:p>
      </xdr:txBody>
    </xdr:sp>
    <xdr:clientData/>
  </xdr:twoCellAnchor>
  <xdr:twoCellAnchor>
    <xdr:from>
      <xdr:col>3</xdr:col>
      <xdr:colOff>257176</xdr:colOff>
      <xdr:row>1</xdr:row>
      <xdr:rowOff>123824</xdr:rowOff>
    </xdr:from>
    <xdr:to>
      <xdr:col>4</xdr:col>
      <xdr:colOff>969376</xdr:colOff>
      <xdr:row>3</xdr:row>
      <xdr:rowOff>66824</xdr:rowOff>
    </xdr:to>
    <xdr:sp macro="" textlink="">
      <xdr:nvSpPr>
        <xdr:cNvPr id="4" name="Rectangle à coins arrondis 2">
          <a:hlinkClick xmlns:r="http://schemas.openxmlformats.org/officeDocument/2006/relationships" r:id="rId3" tooltip="Scorecard"/>
          <a:extLst>
            <a:ext uri="{FF2B5EF4-FFF2-40B4-BE49-F238E27FC236}">
              <a16:creationId xmlns:a16="http://schemas.microsoft.com/office/drawing/2014/main" id="{00000000-0008-0000-3800-000004000000}"/>
            </a:ext>
          </a:extLst>
        </xdr:cNvPr>
        <xdr:cNvSpPr>
          <a:spLocks noChangeArrowheads="1"/>
        </xdr:cNvSpPr>
      </xdr:nvSpPr>
      <xdr:spPr bwMode="auto">
        <a:xfrm>
          <a:off x="2933701" y="447674"/>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9525</xdr:colOff>
      <xdr:row>14</xdr:row>
      <xdr:rowOff>57150</xdr:rowOff>
    </xdr:from>
    <xdr:to>
      <xdr:col>1</xdr:col>
      <xdr:colOff>405525</xdr:colOff>
      <xdr:row>16</xdr:row>
      <xdr:rowOff>72150</xdr:rowOff>
    </xdr:to>
    <xdr:pic>
      <xdr:nvPicPr>
        <xdr:cNvPr id="5" name="Picture 4">
          <a:extLst>
            <a:ext uri="{FF2B5EF4-FFF2-40B4-BE49-F238E27FC236}">
              <a16:creationId xmlns:a16="http://schemas.microsoft.com/office/drawing/2014/main" id="{00000000-0008-0000-3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3190875"/>
          <a:ext cx="396000" cy="396000"/>
        </a:xfrm>
        <a:prstGeom prst="rect">
          <a:avLst/>
        </a:prstGeom>
      </xdr:spPr>
    </xdr:pic>
    <xdr:clientData/>
  </xdr:twoCellAnchor>
  <xdr:twoCellAnchor>
    <xdr:from>
      <xdr:col>7</xdr:col>
      <xdr:colOff>1076325</xdr:colOff>
      <xdr:row>1</xdr:row>
      <xdr:rowOff>104775</xdr:rowOff>
    </xdr:from>
    <xdr:to>
      <xdr:col>8</xdr:col>
      <xdr:colOff>285750</xdr:colOff>
      <xdr:row>3</xdr:row>
      <xdr:rowOff>76200</xdr:rowOff>
    </xdr:to>
    <xdr:sp macro="" textlink="">
      <xdr:nvSpPr>
        <xdr:cNvPr id="6" name="Up Arrow 5">
          <a:hlinkClick xmlns:r="http://schemas.openxmlformats.org/officeDocument/2006/relationships" r:id="rId4" tooltip="Back to top"/>
          <a:extLst>
            <a:ext uri="{FF2B5EF4-FFF2-40B4-BE49-F238E27FC236}">
              <a16:creationId xmlns:a16="http://schemas.microsoft.com/office/drawing/2014/main" id="{00000000-0008-0000-3800-000006000000}"/>
            </a:ext>
          </a:extLst>
        </xdr:cNvPr>
        <xdr:cNvSpPr/>
      </xdr:nvSpPr>
      <xdr:spPr>
        <a:xfrm>
          <a:off x="9096375" y="400050"/>
          <a:ext cx="428625" cy="352425"/>
        </a:xfrm>
        <a:prstGeom prst="upArrow">
          <a:avLst/>
        </a:prstGeom>
        <a:solidFill>
          <a:srgbClr val="FFC00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304800</xdr:colOff>
      <xdr:row>1</xdr:row>
      <xdr:rowOff>123825</xdr:rowOff>
    </xdr:from>
    <xdr:to>
      <xdr:col>2</xdr:col>
      <xdr:colOff>921750</xdr:colOff>
      <xdr:row>3</xdr:row>
      <xdr:rowOff>66825</xdr:rowOff>
    </xdr:to>
    <xdr:sp macro="" textlink="">
      <xdr:nvSpPr>
        <xdr:cNvPr id="2" name="Rectangle à coins arrondis 2">
          <a:hlinkClick xmlns:r="http://schemas.openxmlformats.org/officeDocument/2006/relationships" r:id="rId1" tooltip="Back to Innovation"/>
          <a:extLst>
            <a:ext uri="{FF2B5EF4-FFF2-40B4-BE49-F238E27FC236}">
              <a16:creationId xmlns:a16="http://schemas.microsoft.com/office/drawing/2014/main" id="{00000000-0008-0000-3900-000002000000}"/>
            </a:ext>
          </a:extLst>
        </xdr:cNvPr>
        <xdr:cNvSpPr>
          <a:spLocks noChangeArrowheads="1"/>
        </xdr:cNvSpPr>
      </xdr:nvSpPr>
      <xdr:spPr bwMode="auto">
        <a:xfrm>
          <a:off x="304800" y="447675"/>
          <a:ext cx="2160000" cy="324000"/>
        </a:xfrm>
        <a:prstGeom prst="roundRect">
          <a:avLst>
            <a:gd name="adj" fmla="val 16667"/>
          </a:avLst>
        </a:prstGeom>
        <a:solidFill>
          <a:srgbClr val="FFC00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Innovation</a:t>
          </a:r>
        </a:p>
      </xdr:txBody>
    </xdr:sp>
    <xdr:clientData/>
  </xdr:twoCellAnchor>
  <xdr:twoCellAnchor>
    <xdr:from>
      <xdr:col>3</xdr:col>
      <xdr:colOff>257175</xdr:colOff>
      <xdr:row>1</xdr:row>
      <xdr:rowOff>123824</xdr:rowOff>
    </xdr:from>
    <xdr:to>
      <xdr:col>4</xdr:col>
      <xdr:colOff>1188450</xdr:colOff>
      <xdr:row>3</xdr:row>
      <xdr:rowOff>66824</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3900-000003000000}"/>
            </a:ext>
          </a:extLst>
        </xdr:cNvPr>
        <xdr:cNvSpPr>
          <a:spLocks noChangeArrowheads="1"/>
        </xdr:cNvSpPr>
      </xdr:nvSpPr>
      <xdr:spPr bwMode="auto">
        <a:xfrm>
          <a:off x="2933700" y="447674"/>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0</xdr:colOff>
      <xdr:row>14</xdr:row>
      <xdr:rowOff>95250</xdr:rowOff>
    </xdr:from>
    <xdr:ext cx="396000" cy="396000"/>
    <xdr:pic>
      <xdr:nvPicPr>
        <xdr:cNvPr id="5" name="Picture 4">
          <a:extLst>
            <a:ext uri="{FF2B5EF4-FFF2-40B4-BE49-F238E27FC236}">
              <a16:creationId xmlns:a16="http://schemas.microsoft.com/office/drawing/2014/main" id="{00000000-0008-0000-3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325" y="3219450"/>
          <a:ext cx="396000" cy="396000"/>
        </a:xfrm>
        <a:prstGeom prst="rect">
          <a:avLst/>
        </a:prstGeom>
      </xdr:spPr>
    </xdr:pic>
    <xdr:clientData/>
  </xdr:oneCellAnchor>
  <xdr:twoCellAnchor editAs="oneCell">
    <xdr:from>
      <xdr:col>1</xdr:col>
      <xdr:colOff>47625</xdr:colOff>
      <xdr:row>17</xdr:row>
      <xdr:rowOff>57150</xdr:rowOff>
    </xdr:from>
    <xdr:to>
      <xdr:col>1</xdr:col>
      <xdr:colOff>479625</xdr:colOff>
      <xdr:row>19</xdr:row>
      <xdr:rowOff>108150</xdr:rowOff>
    </xdr:to>
    <xdr:pic>
      <xdr:nvPicPr>
        <xdr:cNvPr id="6" name="Picture 5">
          <a:extLst>
            <a:ext uri="{FF2B5EF4-FFF2-40B4-BE49-F238E27FC236}">
              <a16:creationId xmlns:a16="http://schemas.microsoft.com/office/drawing/2014/main" id="{00000000-0008-0000-3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950" y="3724275"/>
          <a:ext cx="432000" cy="432000"/>
        </a:xfrm>
        <a:prstGeom prst="rect">
          <a:avLst/>
        </a:prstGeom>
      </xdr:spPr>
    </xdr:pic>
    <xdr:clientData/>
  </xdr:twoCellAnchor>
  <xdr:twoCellAnchor>
    <xdr:from>
      <xdr:col>7</xdr:col>
      <xdr:colOff>1104900</xdr:colOff>
      <xdr:row>1</xdr:row>
      <xdr:rowOff>104775</xdr:rowOff>
    </xdr:from>
    <xdr:to>
      <xdr:col>8</xdr:col>
      <xdr:colOff>314325</xdr:colOff>
      <xdr:row>3</xdr:row>
      <xdr:rowOff>76200</xdr:rowOff>
    </xdr:to>
    <xdr:sp macro="" textlink="">
      <xdr:nvSpPr>
        <xdr:cNvPr id="7" name="Up Arrow 6">
          <a:hlinkClick xmlns:r="http://schemas.openxmlformats.org/officeDocument/2006/relationships" r:id="rId5" tooltip="Back to top"/>
          <a:extLst>
            <a:ext uri="{FF2B5EF4-FFF2-40B4-BE49-F238E27FC236}">
              <a16:creationId xmlns:a16="http://schemas.microsoft.com/office/drawing/2014/main" id="{00000000-0008-0000-3900-000007000000}"/>
            </a:ext>
          </a:extLst>
        </xdr:cNvPr>
        <xdr:cNvSpPr/>
      </xdr:nvSpPr>
      <xdr:spPr>
        <a:xfrm>
          <a:off x="9067800" y="428625"/>
          <a:ext cx="400050" cy="352425"/>
        </a:xfrm>
        <a:prstGeom prst="upArrow">
          <a:avLst/>
        </a:prstGeom>
        <a:solidFill>
          <a:srgbClr val="FFC00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914398</xdr:colOff>
      <xdr:row>23</xdr:row>
      <xdr:rowOff>0</xdr:rowOff>
    </xdr:from>
    <xdr:to>
      <xdr:col>6</xdr:col>
      <xdr:colOff>428625</xdr:colOff>
      <xdr:row>24</xdr:row>
      <xdr:rowOff>209550</xdr:rowOff>
    </xdr:to>
    <xdr:sp macro="" textlink="">
      <xdr:nvSpPr>
        <xdr:cNvPr id="3" name="Rectangle à coins arrondis 2">
          <a:hlinkClick xmlns:r="http://schemas.openxmlformats.org/officeDocument/2006/relationships" r:id="rId1" tooltip="Glossary"/>
          <a:extLst>
            <a:ext uri="{FF2B5EF4-FFF2-40B4-BE49-F238E27FC236}">
              <a16:creationId xmlns:a16="http://schemas.microsoft.com/office/drawing/2014/main" id="{00000000-0008-0000-0500-000003000000}"/>
            </a:ext>
          </a:extLst>
        </xdr:cNvPr>
        <xdr:cNvSpPr>
          <a:spLocks noChangeArrowheads="1"/>
        </xdr:cNvSpPr>
      </xdr:nvSpPr>
      <xdr:spPr bwMode="auto">
        <a:xfrm>
          <a:off x="4448173" y="4333875"/>
          <a:ext cx="2085977" cy="43815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definitions and illustrations</a:t>
          </a:r>
        </a:p>
      </xdr:txBody>
    </xdr:sp>
    <xdr:clientData/>
  </xdr:twoCellAnchor>
  <xdr:twoCellAnchor>
    <xdr:from>
      <xdr:col>8</xdr:col>
      <xdr:colOff>762001</xdr:colOff>
      <xdr:row>0</xdr:row>
      <xdr:rowOff>76200</xdr:rowOff>
    </xdr:from>
    <xdr:to>
      <xdr:col>9</xdr:col>
      <xdr:colOff>727576</xdr:colOff>
      <xdr:row>0</xdr:row>
      <xdr:rowOff>364200</xdr:rowOff>
    </xdr:to>
    <xdr:sp macro="" textlink="">
      <xdr:nvSpPr>
        <xdr:cNvPr id="8" name="Rectangle à coins arrondis 2">
          <a:hlinkClick xmlns:r="http://schemas.openxmlformats.org/officeDocument/2006/relationships" r:id="rId2" tooltip="Scorecard"/>
          <a:extLst>
            <a:ext uri="{FF2B5EF4-FFF2-40B4-BE49-F238E27FC236}">
              <a16:creationId xmlns:a16="http://schemas.microsoft.com/office/drawing/2014/main" id="{00000000-0008-0000-0500-000008000000}"/>
            </a:ext>
          </a:extLst>
        </xdr:cNvPr>
        <xdr:cNvSpPr>
          <a:spLocks noChangeArrowheads="1"/>
        </xdr:cNvSpPr>
      </xdr:nvSpPr>
      <xdr:spPr bwMode="auto">
        <a:xfrm>
          <a:off x="9077326" y="7620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Scorecard</a:t>
          </a:r>
        </a:p>
      </xdr:txBody>
    </xdr:sp>
    <xdr:clientData/>
  </xdr:twoCellAnchor>
  <xdr:twoCellAnchor>
    <xdr:from>
      <xdr:col>7</xdr:col>
      <xdr:colOff>663049</xdr:colOff>
      <xdr:row>0</xdr:row>
      <xdr:rowOff>76200</xdr:rowOff>
    </xdr:from>
    <xdr:to>
      <xdr:col>8</xdr:col>
      <xdr:colOff>638149</xdr:colOff>
      <xdr:row>0</xdr:row>
      <xdr:rowOff>364200</xdr:rowOff>
    </xdr:to>
    <xdr:sp macro="" textlink="">
      <xdr:nvSpPr>
        <xdr:cNvPr id="9" name="Rectangle à coins arrondis 2">
          <a:hlinkClick xmlns:r="http://schemas.openxmlformats.org/officeDocument/2006/relationships" r:id="rId3" tooltip="Instructions"/>
          <a:extLst>
            <a:ext uri="{FF2B5EF4-FFF2-40B4-BE49-F238E27FC236}">
              <a16:creationId xmlns:a16="http://schemas.microsoft.com/office/drawing/2014/main" id="{00000000-0008-0000-0500-000009000000}"/>
            </a:ext>
          </a:extLst>
        </xdr:cNvPr>
        <xdr:cNvSpPr>
          <a:spLocks noChangeArrowheads="1"/>
        </xdr:cNvSpPr>
      </xdr:nvSpPr>
      <xdr:spPr bwMode="auto">
        <a:xfrm>
          <a:off x="7873474" y="7620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Instructions</a:t>
          </a:r>
        </a:p>
      </xdr:txBody>
    </xdr:sp>
    <xdr:clientData/>
  </xdr:twoCellAnchor>
  <xdr:twoCellAnchor>
    <xdr:from>
      <xdr:col>6</xdr:col>
      <xdr:colOff>561975</xdr:colOff>
      <xdr:row>0</xdr:row>
      <xdr:rowOff>76200</xdr:rowOff>
    </xdr:from>
    <xdr:to>
      <xdr:col>7</xdr:col>
      <xdr:colOff>537075</xdr:colOff>
      <xdr:row>0</xdr:row>
      <xdr:rowOff>364200</xdr:rowOff>
    </xdr:to>
    <xdr:sp macro="" textlink="">
      <xdr:nvSpPr>
        <xdr:cNvPr id="10" name="Rectangle à coins arrondis 2">
          <a:hlinkClick xmlns:r="http://schemas.openxmlformats.org/officeDocument/2006/relationships" r:id="rId4" tooltip="Introduction"/>
          <a:extLst>
            <a:ext uri="{FF2B5EF4-FFF2-40B4-BE49-F238E27FC236}">
              <a16:creationId xmlns:a16="http://schemas.microsoft.com/office/drawing/2014/main" id="{00000000-0008-0000-0500-00000A000000}"/>
            </a:ext>
          </a:extLst>
        </xdr:cNvPr>
        <xdr:cNvSpPr>
          <a:spLocks noChangeArrowheads="1"/>
        </xdr:cNvSpPr>
      </xdr:nvSpPr>
      <xdr:spPr bwMode="auto">
        <a:xfrm>
          <a:off x="6667500" y="7620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Introduction</a:t>
          </a:r>
        </a:p>
      </xdr:txBody>
    </xdr:sp>
    <xdr:clientData/>
  </xdr:twoCellAnchor>
  <xdr:twoCellAnchor editAs="oneCell">
    <xdr:from>
      <xdr:col>0</xdr:col>
      <xdr:colOff>190500</xdr:colOff>
      <xdr:row>1</xdr:row>
      <xdr:rowOff>38100</xdr:rowOff>
    </xdr:from>
    <xdr:to>
      <xdr:col>1</xdr:col>
      <xdr:colOff>366334</xdr:colOff>
      <xdr:row>2</xdr:row>
      <xdr:rowOff>222450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0500" y="457200"/>
          <a:ext cx="452059" cy="4320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15</xdr:col>
      <xdr:colOff>790576</xdr:colOff>
      <xdr:row>0</xdr:row>
      <xdr:rowOff>47625</xdr:rowOff>
    </xdr:from>
    <xdr:to>
      <xdr:col>16</xdr:col>
      <xdr:colOff>451351</xdr:colOff>
      <xdr:row>0</xdr:row>
      <xdr:rowOff>335625</xdr:rowOff>
    </xdr:to>
    <xdr:sp macro="" textlink="">
      <xdr:nvSpPr>
        <xdr:cNvPr id="8" name="Rectangle à coins arrondis 2">
          <a:hlinkClick xmlns:r="http://schemas.openxmlformats.org/officeDocument/2006/relationships" r:id="rId1" tooltip="Scorecard"/>
          <a:extLst>
            <a:ext uri="{FF2B5EF4-FFF2-40B4-BE49-F238E27FC236}">
              <a16:creationId xmlns:a16="http://schemas.microsoft.com/office/drawing/2014/main" id="{00000000-0008-0000-3A00-000008000000}"/>
            </a:ext>
          </a:extLst>
        </xdr:cNvPr>
        <xdr:cNvSpPr>
          <a:spLocks noChangeArrowheads="1"/>
        </xdr:cNvSpPr>
      </xdr:nvSpPr>
      <xdr:spPr bwMode="auto">
        <a:xfrm>
          <a:off x="11306176"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Scorecard</a:t>
          </a:r>
        </a:p>
      </xdr:txBody>
    </xdr:sp>
    <xdr:clientData/>
  </xdr:twoCellAnchor>
  <xdr:twoCellAnchor>
    <xdr:from>
      <xdr:col>14</xdr:col>
      <xdr:colOff>1005949</xdr:colOff>
      <xdr:row>0</xdr:row>
      <xdr:rowOff>47625</xdr:rowOff>
    </xdr:from>
    <xdr:to>
      <xdr:col>15</xdr:col>
      <xdr:colOff>666724</xdr:colOff>
      <xdr:row>0</xdr:row>
      <xdr:rowOff>335625</xdr:rowOff>
    </xdr:to>
    <xdr:sp macro="" textlink="">
      <xdr:nvSpPr>
        <xdr:cNvPr id="9" name="Rectangle à coins arrondis 2">
          <a:hlinkClick xmlns:r="http://schemas.openxmlformats.org/officeDocument/2006/relationships" r:id="rId2" tooltip="Instructions"/>
          <a:extLst>
            <a:ext uri="{FF2B5EF4-FFF2-40B4-BE49-F238E27FC236}">
              <a16:creationId xmlns:a16="http://schemas.microsoft.com/office/drawing/2014/main" id="{00000000-0008-0000-3A00-000009000000}"/>
            </a:ext>
          </a:extLst>
        </xdr:cNvPr>
        <xdr:cNvSpPr>
          <a:spLocks noChangeArrowheads="1"/>
        </xdr:cNvSpPr>
      </xdr:nvSpPr>
      <xdr:spPr bwMode="auto">
        <a:xfrm>
          <a:off x="10102324"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Instructions</a:t>
          </a:r>
        </a:p>
      </xdr:txBody>
    </xdr:sp>
    <xdr:clientData/>
  </xdr:twoCellAnchor>
  <xdr:twoCellAnchor>
    <xdr:from>
      <xdr:col>13</xdr:col>
      <xdr:colOff>371475</xdr:colOff>
      <xdr:row>0</xdr:row>
      <xdr:rowOff>47625</xdr:rowOff>
    </xdr:from>
    <xdr:to>
      <xdr:col>14</xdr:col>
      <xdr:colOff>879975</xdr:colOff>
      <xdr:row>0</xdr:row>
      <xdr:rowOff>335625</xdr:rowOff>
    </xdr:to>
    <xdr:sp macro="" textlink="">
      <xdr:nvSpPr>
        <xdr:cNvPr id="10" name="Rectangle à coins arrondis 2">
          <a:hlinkClick xmlns:r="http://schemas.openxmlformats.org/officeDocument/2006/relationships" r:id="rId3" tooltip="Introduction"/>
          <a:extLst>
            <a:ext uri="{FF2B5EF4-FFF2-40B4-BE49-F238E27FC236}">
              <a16:creationId xmlns:a16="http://schemas.microsoft.com/office/drawing/2014/main" id="{00000000-0008-0000-3A00-00000A000000}"/>
            </a:ext>
          </a:extLst>
        </xdr:cNvPr>
        <xdr:cNvSpPr>
          <a:spLocks noChangeArrowheads="1"/>
        </xdr:cNvSpPr>
      </xdr:nvSpPr>
      <xdr:spPr bwMode="auto">
        <a:xfrm>
          <a:off x="8896350"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Introduction</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13</xdr:col>
      <xdr:colOff>542924</xdr:colOff>
      <xdr:row>53</xdr:row>
      <xdr:rowOff>47625</xdr:rowOff>
    </xdr:from>
    <xdr:to>
      <xdr:col>16</xdr:col>
      <xdr:colOff>552450</xdr:colOff>
      <xdr:row>54</xdr:row>
      <xdr:rowOff>74250</xdr:rowOff>
    </xdr:to>
    <xdr:sp macro="" textlink="">
      <xdr:nvSpPr>
        <xdr:cNvPr id="6" name="Rectangle à coins arrondis 2">
          <a:hlinkClick xmlns:r="http://schemas.openxmlformats.org/officeDocument/2006/relationships" r:id="rId1" tooltip="Project information"/>
          <a:extLst>
            <a:ext uri="{FF2B5EF4-FFF2-40B4-BE49-F238E27FC236}">
              <a16:creationId xmlns:a16="http://schemas.microsoft.com/office/drawing/2014/main" id="{00000000-0008-0000-3B00-000006000000}"/>
            </a:ext>
          </a:extLst>
        </xdr:cNvPr>
        <xdr:cNvSpPr>
          <a:spLocks noChangeArrowheads="1"/>
        </xdr:cNvSpPr>
      </xdr:nvSpPr>
      <xdr:spPr bwMode="auto">
        <a:xfrm>
          <a:off x="8305799" y="10515600"/>
          <a:ext cx="1838326" cy="30285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Project Information</a:t>
          </a:r>
        </a:p>
      </xdr:txBody>
    </xdr:sp>
    <xdr:clientData/>
  </xdr:twoCellAnchor>
  <xdr:twoCellAnchor editAs="oneCell">
    <xdr:from>
      <xdr:col>0</xdr:col>
      <xdr:colOff>66675</xdr:colOff>
      <xdr:row>55</xdr:row>
      <xdr:rowOff>19050</xdr:rowOff>
    </xdr:from>
    <xdr:to>
      <xdr:col>8</xdr:col>
      <xdr:colOff>400050</xdr:colOff>
      <xdr:row>63</xdr:row>
      <xdr:rowOff>37920</xdr:rowOff>
    </xdr:to>
    <xdr:pic>
      <xdr:nvPicPr>
        <xdr:cNvPr id="7" name="Picture 114" descr="\\VGBC_NETWORK\VGBC Shared\LOTUS\LOTUS Residential\LOTUS R Research\LOTUS R Illustrations\JPEG Version\glossary.jpg">
          <a:extLst>
            <a:ext uri="{FF2B5EF4-FFF2-40B4-BE49-F238E27FC236}">
              <a16:creationId xmlns:a16="http://schemas.microsoft.com/office/drawing/2014/main" id="{00000000-0008-0000-3B00-000007000000}"/>
            </a:ext>
          </a:extLst>
        </xdr:cNvPr>
        <xdr:cNvPicPr/>
      </xdr:nvPicPr>
      <xdr:blipFill>
        <a:blip xmlns:r="http://schemas.openxmlformats.org/officeDocument/2006/relationships" r:embed="rId2" cstate="print"/>
        <a:srcRect l="6220" t="4145" r="4679" b="76492"/>
        <a:stretch>
          <a:fillRect/>
        </a:stretch>
      </xdr:blipFill>
      <xdr:spPr bwMode="auto">
        <a:xfrm>
          <a:off x="66675" y="1038225"/>
          <a:ext cx="5048250" cy="1542870"/>
        </a:xfrm>
        <a:prstGeom prst="rect">
          <a:avLst/>
        </a:prstGeom>
        <a:noFill/>
        <a:ln w="9525">
          <a:noFill/>
          <a:miter lim="800000"/>
          <a:headEnd/>
          <a:tailEnd/>
        </a:ln>
      </xdr:spPr>
    </xdr:pic>
    <xdr:clientData/>
  </xdr:twoCellAnchor>
  <xdr:twoCellAnchor editAs="oneCell">
    <xdr:from>
      <xdr:col>0</xdr:col>
      <xdr:colOff>76199</xdr:colOff>
      <xdr:row>63</xdr:row>
      <xdr:rowOff>19050</xdr:rowOff>
    </xdr:from>
    <xdr:to>
      <xdr:col>8</xdr:col>
      <xdr:colOff>408524</xdr:colOff>
      <xdr:row>71</xdr:row>
      <xdr:rowOff>26958</xdr:rowOff>
    </xdr:to>
    <xdr:pic>
      <xdr:nvPicPr>
        <xdr:cNvPr id="8" name="Picture 114" descr="\\VGBC_NETWORK\VGBC Shared\LOTUS\LOTUS Residential\LOTUS R Research\LOTUS R Illustrations\JPEG Version\glossary.jpg">
          <a:extLst>
            <a:ext uri="{FF2B5EF4-FFF2-40B4-BE49-F238E27FC236}">
              <a16:creationId xmlns:a16="http://schemas.microsoft.com/office/drawing/2014/main" id="{00000000-0008-0000-3B00-000008000000}"/>
            </a:ext>
          </a:extLst>
        </xdr:cNvPr>
        <xdr:cNvPicPr/>
      </xdr:nvPicPr>
      <xdr:blipFill>
        <a:blip xmlns:r="http://schemas.openxmlformats.org/officeDocument/2006/relationships" r:embed="rId2" cstate="print"/>
        <a:srcRect l="5884" t="36390" r="5326" b="44381"/>
        <a:stretch>
          <a:fillRect/>
        </a:stretch>
      </xdr:blipFill>
      <xdr:spPr bwMode="auto">
        <a:xfrm>
          <a:off x="76199" y="12477750"/>
          <a:ext cx="5047200" cy="1541433"/>
        </a:xfrm>
        <a:prstGeom prst="rect">
          <a:avLst/>
        </a:prstGeom>
        <a:noFill/>
        <a:ln w="9525">
          <a:noFill/>
          <a:miter lim="800000"/>
          <a:headEnd/>
          <a:tailEnd/>
        </a:ln>
      </xdr:spPr>
    </xdr:pic>
    <xdr:clientData/>
  </xdr:twoCellAnchor>
  <xdr:twoCellAnchor editAs="oneCell">
    <xdr:from>
      <xdr:col>0</xdr:col>
      <xdr:colOff>142875</xdr:colOff>
      <xdr:row>71</xdr:row>
      <xdr:rowOff>28575</xdr:rowOff>
    </xdr:from>
    <xdr:to>
      <xdr:col>9</xdr:col>
      <xdr:colOff>14198</xdr:colOff>
      <xdr:row>80</xdr:row>
      <xdr:rowOff>63440</xdr:rowOff>
    </xdr:to>
    <xdr:pic>
      <xdr:nvPicPr>
        <xdr:cNvPr id="9" name="Picture 114" descr="\\VGBC_NETWORK\VGBC Shared\LOTUS\LOTUS Residential\LOTUS R Research\LOTUS R Illustrations\JPEG Version\glossary.jpg">
          <a:extLst>
            <a:ext uri="{FF2B5EF4-FFF2-40B4-BE49-F238E27FC236}">
              <a16:creationId xmlns:a16="http://schemas.microsoft.com/office/drawing/2014/main" id="{00000000-0008-0000-3B00-000009000000}"/>
            </a:ext>
          </a:extLst>
        </xdr:cNvPr>
        <xdr:cNvPicPr/>
      </xdr:nvPicPr>
      <xdr:blipFill>
        <a:blip xmlns:r="http://schemas.openxmlformats.org/officeDocument/2006/relationships" r:embed="rId2" cstate="print"/>
        <a:srcRect l="7230" t="69915" r="1050" b="8279"/>
        <a:stretch>
          <a:fillRect/>
        </a:stretch>
      </xdr:blipFill>
      <xdr:spPr bwMode="auto">
        <a:xfrm>
          <a:off x="142875" y="14020800"/>
          <a:ext cx="5195798" cy="1749365"/>
        </a:xfrm>
        <a:prstGeom prst="rect">
          <a:avLst/>
        </a:prstGeom>
        <a:noFill/>
        <a:ln w="9525">
          <a:noFill/>
          <a:miter lim="800000"/>
          <a:headEnd/>
          <a:tailEnd/>
        </a:ln>
      </xdr:spPr>
    </xdr:pic>
    <xdr:clientData/>
  </xdr:twoCellAnchor>
  <xdr:twoCellAnchor>
    <xdr:from>
      <xdr:col>15</xdr:col>
      <xdr:colOff>28576</xdr:colOff>
      <xdr:row>0</xdr:row>
      <xdr:rowOff>47625</xdr:rowOff>
    </xdr:from>
    <xdr:to>
      <xdr:col>16</xdr:col>
      <xdr:colOff>498976</xdr:colOff>
      <xdr:row>0</xdr:row>
      <xdr:rowOff>335625</xdr:rowOff>
    </xdr:to>
    <xdr:sp macro="" textlink="">
      <xdr:nvSpPr>
        <xdr:cNvPr id="13" name="Rectangle à coins arrondis 2">
          <a:hlinkClick xmlns:r="http://schemas.openxmlformats.org/officeDocument/2006/relationships" r:id="rId3" tooltip="Scorecard"/>
          <a:extLst>
            <a:ext uri="{FF2B5EF4-FFF2-40B4-BE49-F238E27FC236}">
              <a16:creationId xmlns:a16="http://schemas.microsoft.com/office/drawing/2014/main" id="{00000000-0008-0000-3B00-00000D000000}"/>
            </a:ext>
          </a:extLst>
        </xdr:cNvPr>
        <xdr:cNvSpPr>
          <a:spLocks noChangeArrowheads="1"/>
        </xdr:cNvSpPr>
      </xdr:nvSpPr>
      <xdr:spPr bwMode="auto">
        <a:xfrm>
          <a:off x="9010651"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Scorecard</a:t>
          </a:r>
        </a:p>
      </xdr:txBody>
    </xdr:sp>
    <xdr:clientData/>
  </xdr:twoCellAnchor>
  <xdr:twoCellAnchor>
    <xdr:from>
      <xdr:col>13</xdr:col>
      <xdr:colOff>43924</xdr:colOff>
      <xdr:row>0</xdr:row>
      <xdr:rowOff>47625</xdr:rowOff>
    </xdr:from>
    <xdr:to>
      <xdr:col>14</xdr:col>
      <xdr:colOff>514324</xdr:colOff>
      <xdr:row>0</xdr:row>
      <xdr:rowOff>335625</xdr:rowOff>
    </xdr:to>
    <xdr:sp macro="" textlink="">
      <xdr:nvSpPr>
        <xdr:cNvPr id="14" name="Rectangle à coins arrondis 2">
          <a:hlinkClick xmlns:r="http://schemas.openxmlformats.org/officeDocument/2006/relationships" r:id="rId4" tooltip="Instructions"/>
          <a:extLst>
            <a:ext uri="{FF2B5EF4-FFF2-40B4-BE49-F238E27FC236}">
              <a16:creationId xmlns:a16="http://schemas.microsoft.com/office/drawing/2014/main" id="{00000000-0008-0000-3B00-00000E000000}"/>
            </a:ext>
          </a:extLst>
        </xdr:cNvPr>
        <xdr:cNvSpPr>
          <a:spLocks noChangeArrowheads="1"/>
        </xdr:cNvSpPr>
      </xdr:nvSpPr>
      <xdr:spPr bwMode="auto">
        <a:xfrm>
          <a:off x="7806799"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Instructions</a:t>
          </a:r>
        </a:p>
      </xdr:txBody>
    </xdr:sp>
    <xdr:clientData/>
  </xdr:twoCellAnchor>
  <xdr:twoCellAnchor>
    <xdr:from>
      <xdr:col>11</xdr:col>
      <xdr:colOff>57150</xdr:colOff>
      <xdr:row>0</xdr:row>
      <xdr:rowOff>47625</xdr:rowOff>
    </xdr:from>
    <xdr:to>
      <xdr:col>12</xdr:col>
      <xdr:colOff>527550</xdr:colOff>
      <xdr:row>0</xdr:row>
      <xdr:rowOff>335625</xdr:rowOff>
    </xdr:to>
    <xdr:sp macro="" textlink="">
      <xdr:nvSpPr>
        <xdr:cNvPr id="15" name="Rectangle à coins arrondis 2">
          <a:hlinkClick xmlns:r="http://schemas.openxmlformats.org/officeDocument/2006/relationships" r:id="rId5" tooltip="Introduction"/>
          <a:extLst>
            <a:ext uri="{FF2B5EF4-FFF2-40B4-BE49-F238E27FC236}">
              <a16:creationId xmlns:a16="http://schemas.microsoft.com/office/drawing/2014/main" id="{00000000-0008-0000-3B00-00000F000000}"/>
            </a:ext>
          </a:extLst>
        </xdr:cNvPr>
        <xdr:cNvSpPr>
          <a:spLocks noChangeArrowheads="1"/>
        </xdr:cNvSpPr>
      </xdr:nvSpPr>
      <xdr:spPr bwMode="auto">
        <a:xfrm>
          <a:off x="6600825"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Introduction</a:t>
          </a:r>
        </a:p>
      </xdr:txBody>
    </xdr:sp>
    <xdr:clientData/>
  </xdr:twoCellAnchor>
  <xdr:twoCellAnchor>
    <xdr:from>
      <xdr:col>13</xdr:col>
      <xdr:colOff>401250</xdr:colOff>
      <xdr:row>34</xdr:row>
      <xdr:rowOff>38100</xdr:rowOff>
    </xdr:from>
    <xdr:to>
      <xdr:col>16</xdr:col>
      <xdr:colOff>552450</xdr:colOff>
      <xdr:row>35</xdr:row>
      <xdr:rowOff>112350</xdr:rowOff>
    </xdr:to>
    <xdr:sp macro="" textlink="">
      <xdr:nvSpPr>
        <xdr:cNvPr id="16" name="Rectangle à coins arrondis 2">
          <a:hlinkClick xmlns:r="http://schemas.openxmlformats.org/officeDocument/2006/relationships" r:id="rId6" tooltip="Certification stage checklist"/>
          <a:extLst>
            <a:ext uri="{FF2B5EF4-FFF2-40B4-BE49-F238E27FC236}">
              <a16:creationId xmlns:a16="http://schemas.microsoft.com/office/drawing/2014/main" id="{00000000-0008-0000-3B00-000010000000}"/>
            </a:ext>
          </a:extLst>
        </xdr:cNvPr>
        <xdr:cNvSpPr>
          <a:spLocks noChangeArrowheads="1"/>
        </xdr:cNvSpPr>
      </xdr:nvSpPr>
      <xdr:spPr bwMode="auto">
        <a:xfrm>
          <a:off x="8164125" y="6019800"/>
          <a:ext cx="1980000" cy="34095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Certification stage checklist</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14</xdr:col>
      <xdr:colOff>142875</xdr:colOff>
      <xdr:row>228</xdr:row>
      <xdr:rowOff>47625</xdr:rowOff>
    </xdr:from>
    <xdr:to>
      <xdr:col>17</xdr:col>
      <xdr:colOff>543675</xdr:colOff>
      <xdr:row>229</xdr:row>
      <xdr:rowOff>95400</xdr:rowOff>
    </xdr:to>
    <xdr:sp macro="" textlink="">
      <xdr:nvSpPr>
        <xdr:cNvPr id="3" name="Rectangle à coins arrondis 2">
          <a:hlinkClick xmlns:r="http://schemas.openxmlformats.org/officeDocument/2006/relationships" r:id="rId1" tooltip="LE-5"/>
          <a:extLst>
            <a:ext uri="{FF2B5EF4-FFF2-40B4-BE49-F238E27FC236}">
              <a16:creationId xmlns:a16="http://schemas.microsoft.com/office/drawing/2014/main" id="{00000000-0008-0000-3C00-000003000000}"/>
            </a:ext>
          </a:extLst>
        </xdr:cNvPr>
        <xdr:cNvSpPr>
          <a:spLocks noChangeArrowheads="1"/>
        </xdr:cNvSpPr>
      </xdr:nvSpPr>
      <xdr:spPr bwMode="auto">
        <a:xfrm>
          <a:off x="8477250" y="15297150"/>
          <a:ext cx="162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LE-5 </a:t>
          </a:r>
        </a:p>
      </xdr:txBody>
    </xdr:sp>
    <xdr:clientData/>
  </xdr:twoCellAnchor>
  <xdr:twoCellAnchor editAs="oneCell">
    <xdr:from>
      <xdr:col>1</xdr:col>
      <xdr:colOff>304800</xdr:colOff>
      <xdr:row>173</xdr:row>
      <xdr:rowOff>57150</xdr:rowOff>
    </xdr:from>
    <xdr:to>
      <xdr:col>12</xdr:col>
      <xdr:colOff>447675</xdr:colOff>
      <xdr:row>200</xdr:row>
      <xdr:rowOff>142875</xdr:rowOff>
    </xdr:to>
    <xdr:pic>
      <xdr:nvPicPr>
        <xdr:cNvPr id="4" name="Picture 3">
          <a:extLst>
            <a:ext uri="{FF2B5EF4-FFF2-40B4-BE49-F238E27FC236}">
              <a16:creationId xmlns:a16="http://schemas.microsoft.com/office/drawing/2014/main" id="{00000000-0008-0000-3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1025" y="9591675"/>
          <a:ext cx="7686675" cy="522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190500</xdr:colOff>
      <xdr:row>171</xdr:row>
      <xdr:rowOff>47625</xdr:rowOff>
    </xdr:from>
    <xdr:to>
      <xdr:col>17</xdr:col>
      <xdr:colOff>591300</xdr:colOff>
      <xdr:row>172</xdr:row>
      <xdr:rowOff>95400</xdr:rowOff>
    </xdr:to>
    <xdr:sp macro="" textlink="">
      <xdr:nvSpPr>
        <xdr:cNvPr id="5" name="Rectangle à coins arrondis 2">
          <a:hlinkClick xmlns:r="http://schemas.openxmlformats.org/officeDocument/2006/relationships" r:id="rId3" tooltip="LE-2"/>
          <a:extLst>
            <a:ext uri="{FF2B5EF4-FFF2-40B4-BE49-F238E27FC236}">
              <a16:creationId xmlns:a16="http://schemas.microsoft.com/office/drawing/2014/main" id="{00000000-0008-0000-3C00-000005000000}"/>
            </a:ext>
          </a:extLst>
        </xdr:cNvPr>
        <xdr:cNvSpPr>
          <a:spLocks noChangeArrowheads="1"/>
        </xdr:cNvSpPr>
      </xdr:nvSpPr>
      <xdr:spPr bwMode="auto">
        <a:xfrm>
          <a:off x="8524875" y="9115425"/>
          <a:ext cx="162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LE-2 </a:t>
          </a:r>
        </a:p>
      </xdr:txBody>
    </xdr:sp>
    <xdr:clientData/>
  </xdr:twoCellAnchor>
  <xdr:twoCellAnchor>
    <xdr:from>
      <xdr:col>14</xdr:col>
      <xdr:colOff>542925</xdr:colOff>
      <xdr:row>130</xdr:row>
      <xdr:rowOff>47625</xdr:rowOff>
    </xdr:from>
    <xdr:to>
      <xdr:col>17</xdr:col>
      <xdr:colOff>514125</xdr:colOff>
      <xdr:row>131</xdr:row>
      <xdr:rowOff>104925</xdr:rowOff>
    </xdr:to>
    <xdr:sp macro="" textlink="">
      <xdr:nvSpPr>
        <xdr:cNvPr id="11" name="Rectangle à coins arrondis 2">
          <a:hlinkClick xmlns:r="http://schemas.openxmlformats.org/officeDocument/2006/relationships" r:id="rId4" tooltip="W-2"/>
          <a:extLst>
            <a:ext uri="{FF2B5EF4-FFF2-40B4-BE49-F238E27FC236}">
              <a16:creationId xmlns:a16="http://schemas.microsoft.com/office/drawing/2014/main" id="{00000000-0008-0000-3C00-00000B000000}"/>
            </a:ext>
          </a:extLst>
        </xdr:cNvPr>
        <xdr:cNvSpPr>
          <a:spLocks noChangeArrowheads="1"/>
        </xdr:cNvSpPr>
      </xdr:nvSpPr>
      <xdr:spPr bwMode="auto">
        <a:xfrm>
          <a:off x="8915400" y="7058025"/>
          <a:ext cx="1800000"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W-2</a:t>
          </a:r>
        </a:p>
      </xdr:txBody>
    </xdr:sp>
    <xdr:clientData/>
  </xdr:twoCellAnchor>
  <xdr:twoCellAnchor editAs="oneCell">
    <xdr:from>
      <xdr:col>6</xdr:col>
      <xdr:colOff>495935</xdr:colOff>
      <xdr:row>148</xdr:row>
      <xdr:rowOff>104775</xdr:rowOff>
    </xdr:from>
    <xdr:to>
      <xdr:col>15</xdr:col>
      <xdr:colOff>342900</xdr:colOff>
      <xdr:row>159</xdr:row>
      <xdr:rowOff>169275</xdr:rowOff>
    </xdr:to>
    <xdr:pic>
      <xdr:nvPicPr>
        <xdr:cNvPr id="15" name="Picture 14" descr="H3-Daylight Control.jpg">
          <a:extLst>
            <a:ext uri="{FF2B5EF4-FFF2-40B4-BE49-F238E27FC236}">
              <a16:creationId xmlns:a16="http://schemas.microsoft.com/office/drawing/2014/main" id="{00000000-0008-0000-3C00-00000F000000}"/>
            </a:ext>
          </a:extLst>
        </xdr:cNvPr>
        <xdr:cNvPicPr/>
      </xdr:nvPicPr>
      <xdr:blipFill>
        <a:blip xmlns:r="http://schemas.openxmlformats.org/officeDocument/2006/relationships" r:embed="rId5" cstate="print"/>
        <a:stretch>
          <a:fillRect/>
        </a:stretch>
      </xdr:blipFill>
      <xdr:spPr>
        <a:xfrm>
          <a:off x="3991610" y="9867900"/>
          <a:ext cx="5781040" cy="2160000"/>
        </a:xfrm>
        <a:prstGeom prst="rect">
          <a:avLst/>
        </a:prstGeom>
      </xdr:spPr>
    </xdr:pic>
    <xdr:clientData/>
  </xdr:twoCellAnchor>
  <xdr:twoCellAnchor>
    <xdr:from>
      <xdr:col>14</xdr:col>
      <xdr:colOff>161925</xdr:colOff>
      <xdr:row>145</xdr:row>
      <xdr:rowOff>38100</xdr:rowOff>
    </xdr:from>
    <xdr:to>
      <xdr:col>17</xdr:col>
      <xdr:colOff>562725</xdr:colOff>
      <xdr:row>146</xdr:row>
      <xdr:rowOff>85875</xdr:rowOff>
    </xdr:to>
    <xdr:sp macro="" textlink="">
      <xdr:nvSpPr>
        <xdr:cNvPr id="16" name="Rectangle à coins arrondis 2">
          <a:hlinkClick xmlns:r="http://schemas.openxmlformats.org/officeDocument/2006/relationships" r:id="rId6" tooltip="H-4"/>
          <a:extLst>
            <a:ext uri="{FF2B5EF4-FFF2-40B4-BE49-F238E27FC236}">
              <a16:creationId xmlns:a16="http://schemas.microsoft.com/office/drawing/2014/main" id="{00000000-0008-0000-3C00-000010000000}"/>
            </a:ext>
          </a:extLst>
        </xdr:cNvPr>
        <xdr:cNvSpPr>
          <a:spLocks noChangeArrowheads="1"/>
        </xdr:cNvSpPr>
      </xdr:nvSpPr>
      <xdr:spPr bwMode="auto">
        <a:xfrm>
          <a:off x="8496300" y="9105900"/>
          <a:ext cx="162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H-4</a:t>
          </a:r>
        </a:p>
      </xdr:txBody>
    </xdr:sp>
    <xdr:clientData/>
  </xdr:twoCellAnchor>
  <xdr:twoCellAnchor>
    <xdr:from>
      <xdr:col>15</xdr:col>
      <xdr:colOff>571501</xdr:colOff>
      <xdr:row>0</xdr:row>
      <xdr:rowOff>47625</xdr:rowOff>
    </xdr:from>
    <xdr:to>
      <xdr:col>17</xdr:col>
      <xdr:colOff>432301</xdr:colOff>
      <xdr:row>0</xdr:row>
      <xdr:rowOff>335625</xdr:rowOff>
    </xdr:to>
    <xdr:sp macro="" textlink="">
      <xdr:nvSpPr>
        <xdr:cNvPr id="14" name="Rectangle à coins arrondis 2">
          <a:hlinkClick xmlns:r="http://schemas.openxmlformats.org/officeDocument/2006/relationships" r:id="rId7" tooltip="Scorecard"/>
          <a:extLst>
            <a:ext uri="{FF2B5EF4-FFF2-40B4-BE49-F238E27FC236}">
              <a16:creationId xmlns:a16="http://schemas.microsoft.com/office/drawing/2014/main" id="{00000000-0008-0000-3C00-00000E000000}"/>
            </a:ext>
          </a:extLst>
        </xdr:cNvPr>
        <xdr:cNvSpPr>
          <a:spLocks noChangeArrowheads="1"/>
        </xdr:cNvSpPr>
      </xdr:nvSpPr>
      <xdr:spPr bwMode="auto">
        <a:xfrm>
          <a:off x="9553576"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Scorecard</a:t>
          </a:r>
        </a:p>
      </xdr:txBody>
    </xdr:sp>
    <xdr:clientData/>
  </xdr:twoCellAnchor>
  <xdr:twoCellAnchor>
    <xdr:from>
      <xdr:col>13</xdr:col>
      <xdr:colOff>586849</xdr:colOff>
      <xdr:row>0</xdr:row>
      <xdr:rowOff>47625</xdr:rowOff>
    </xdr:from>
    <xdr:to>
      <xdr:col>15</xdr:col>
      <xdr:colOff>447649</xdr:colOff>
      <xdr:row>0</xdr:row>
      <xdr:rowOff>335625</xdr:rowOff>
    </xdr:to>
    <xdr:sp macro="" textlink="">
      <xdr:nvSpPr>
        <xdr:cNvPr id="17" name="Rectangle à coins arrondis 2">
          <a:hlinkClick xmlns:r="http://schemas.openxmlformats.org/officeDocument/2006/relationships" r:id="rId8" tooltip="Instructions"/>
          <a:extLst>
            <a:ext uri="{FF2B5EF4-FFF2-40B4-BE49-F238E27FC236}">
              <a16:creationId xmlns:a16="http://schemas.microsoft.com/office/drawing/2014/main" id="{00000000-0008-0000-3C00-000011000000}"/>
            </a:ext>
          </a:extLst>
        </xdr:cNvPr>
        <xdr:cNvSpPr>
          <a:spLocks noChangeArrowheads="1"/>
        </xdr:cNvSpPr>
      </xdr:nvSpPr>
      <xdr:spPr bwMode="auto">
        <a:xfrm>
          <a:off x="8349724"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Instructions</a:t>
          </a:r>
        </a:p>
      </xdr:txBody>
    </xdr:sp>
    <xdr:clientData/>
  </xdr:twoCellAnchor>
  <xdr:twoCellAnchor>
    <xdr:from>
      <xdr:col>11</xdr:col>
      <xdr:colOff>600075</xdr:colOff>
      <xdr:row>0</xdr:row>
      <xdr:rowOff>47625</xdr:rowOff>
    </xdr:from>
    <xdr:to>
      <xdr:col>13</xdr:col>
      <xdr:colOff>460875</xdr:colOff>
      <xdr:row>0</xdr:row>
      <xdr:rowOff>335625</xdr:rowOff>
    </xdr:to>
    <xdr:sp macro="" textlink="">
      <xdr:nvSpPr>
        <xdr:cNvPr id="18" name="Rectangle à coins arrondis 2">
          <a:hlinkClick xmlns:r="http://schemas.openxmlformats.org/officeDocument/2006/relationships" r:id="rId9" tooltip="Introduction"/>
          <a:extLst>
            <a:ext uri="{FF2B5EF4-FFF2-40B4-BE49-F238E27FC236}">
              <a16:creationId xmlns:a16="http://schemas.microsoft.com/office/drawing/2014/main" id="{00000000-0008-0000-3C00-000012000000}"/>
            </a:ext>
          </a:extLst>
        </xdr:cNvPr>
        <xdr:cNvSpPr>
          <a:spLocks noChangeArrowheads="1"/>
        </xdr:cNvSpPr>
      </xdr:nvSpPr>
      <xdr:spPr bwMode="auto">
        <a:xfrm>
          <a:off x="7143750"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Introduction</a:t>
          </a:r>
        </a:p>
      </xdr:txBody>
    </xdr:sp>
    <xdr:clientData/>
  </xdr:twoCellAnchor>
  <xdr:twoCellAnchor>
    <xdr:from>
      <xdr:col>14</xdr:col>
      <xdr:colOff>457200</xdr:colOff>
      <xdr:row>2</xdr:row>
      <xdr:rowOff>0</xdr:rowOff>
    </xdr:from>
    <xdr:to>
      <xdr:col>17</xdr:col>
      <xdr:colOff>428400</xdr:colOff>
      <xdr:row>3</xdr:row>
      <xdr:rowOff>57300</xdr:rowOff>
    </xdr:to>
    <xdr:sp macro="" textlink="">
      <xdr:nvSpPr>
        <xdr:cNvPr id="20" name="Rectangle à coins arrondis 2">
          <a:hlinkClick xmlns:r="http://schemas.openxmlformats.org/officeDocument/2006/relationships" r:id="rId10" tooltip="E-2"/>
          <a:extLst>
            <a:ext uri="{FF2B5EF4-FFF2-40B4-BE49-F238E27FC236}">
              <a16:creationId xmlns:a16="http://schemas.microsoft.com/office/drawing/2014/main" id="{00000000-0008-0000-3C00-000014000000}"/>
            </a:ext>
          </a:extLst>
        </xdr:cNvPr>
        <xdr:cNvSpPr>
          <a:spLocks noChangeArrowheads="1"/>
        </xdr:cNvSpPr>
      </xdr:nvSpPr>
      <xdr:spPr bwMode="auto">
        <a:xfrm>
          <a:off x="8829675" y="609600"/>
          <a:ext cx="1800000" cy="324000"/>
        </a:xfrm>
        <a:prstGeom prst="roundRect">
          <a:avLst>
            <a:gd name="adj" fmla="val 16667"/>
          </a:avLst>
        </a:prstGeom>
        <a:solidFill>
          <a:srgbClr val="58B5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E-2</a:t>
          </a:r>
        </a:p>
      </xdr:txBody>
    </xdr:sp>
    <xdr:clientData/>
  </xdr:twoCellAnchor>
  <xdr:twoCellAnchor editAs="oneCell">
    <xdr:from>
      <xdr:col>2</xdr:col>
      <xdr:colOff>447675</xdr:colOff>
      <xdr:row>28</xdr:row>
      <xdr:rowOff>95250</xdr:rowOff>
    </xdr:from>
    <xdr:to>
      <xdr:col>4</xdr:col>
      <xdr:colOff>492604</xdr:colOff>
      <xdr:row>38</xdr:row>
      <xdr:rowOff>42333</xdr:rowOff>
    </xdr:to>
    <xdr:pic>
      <xdr:nvPicPr>
        <xdr:cNvPr id="21" name="Picture 2">
          <a:extLst>
            <a:ext uri="{FF2B5EF4-FFF2-40B4-BE49-F238E27FC236}">
              <a16:creationId xmlns:a16="http://schemas.microsoft.com/office/drawing/2014/main" id="{00000000-0008-0000-3C00-000015000000}"/>
            </a:ext>
          </a:extLst>
        </xdr:cNvPr>
        <xdr:cNvPicPr>
          <a:picLocks noChangeAspect="1" noChangeArrowheads="1"/>
        </xdr:cNvPicPr>
      </xdr:nvPicPr>
      <xdr:blipFill rotWithShape="1">
        <a:blip xmlns:r="http://schemas.openxmlformats.org/officeDocument/2006/relationships" r:embed="rId11" cstate="print"/>
        <a:srcRect t="-1" r="76092" b="-527"/>
        <a:stretch/>
      </xdr:blipFill>
      <xdr:spPr bwMode="auto">
        <a:xfrm>
          <a:off x="1466850" y="5200650"/>
          <a:ext cx="1387954" cy="1852083"/>
        </a:xfrm>
        <a:prstGeom prst="rect">
          <a:avLst/>
        </a:prstGeom>
        <a:noFill/>
      </xdr:spPr>
    </xdr:pic>
    <xdr:clientData/>
  </xdr:twoCellAnchor>
  <xdr:twoCellAnchor editAs="oneCell">
    <xdr:from>
      <xdr:col>9</xdr:col>
      <xdr:colOff>495300</xdr:colOff>
      <xdr:row>29</xdr:row>
      <xdr:rowOff>85725</xdr:rowOff>
    </xdr:from>
    <xdr:to>
      <xdr:col>15</xdr:col>
      <xdr:colOff>587857</xdr:colOff>
      <xdr:row>37</xdr:row>
      <xdr:rowOff>150091</xdr:rowOff>
    </xdr:to>
    <xdr:pic>
      <xdr:nvPicPr>
        <xdr:cNvPr id="23" name="Picture 2">
          <a:extLst>
            <a:ext uri="{FF2B5EF4-FFF2-40B4-BE49-F238E27FC236}">
              <a16:creationId xmlns:a16="http://schemas.microsoft.com/office/drawing/2014/main" id="{00000000-0008-0000-3C00-000017000000}"/>
            </a:ext>
          </a:extLst>
        </xdr:cNvPr>
        <xdr:cNvPicPr>
          <a:picLocks noChangeAspect="1" noChangeArrowheads="1"/>
        </xdr:cNvPicPr>
      </xdr:nvPicPr>
      <xdr:blipFill rotWithShape="1">
        <a:blip xmlns:r="http://schemas.openxmlformats.org/officeDocument/2006/relationships" r:embed="rId11" cstate="print"/>
        <a:srcRect l="29168" t="13787"/>
        <a:stretch/>
      </xdr:blipFill>
      <xdr:spPr bwMode="auto">
        <a:xfrm>
          <a:off x="5819775" y="5381625"/>
          <a:ext cx="4112107" cy="1588366"/>
        </a:xfrm>
        <a:prstGeom prst="rect">
          <a:avLst/>
        </a:prstGeom>
        <a:noFill/>
      </xdr:spPr>
    </xdr:pic>
    <xdr:clientData/>
  </xdr:twoCellAnchor>
  <xdr:twoCellAnchor>
    <xdr:from>
      <xdr:col>14</xdr:col>
      <xdr:colOff>0</xdr:colOff>
      <xdr:row>202</xdr:row>
      <xdr:rowOff>47625</xdr:rowOff>
    </xdr:from>
    <xdr:to>
      <xdr:col>17</xdr:col>
      <xdr:colOff>400800</xdr:colOff>
      <xdr:row>203</xdr:row>
      <xdr:rowOff>95400</xdr:rowOff>
    </xdr:to>
    <xdr:sp macro="" textlink="">
      <xdr:nvSpPr>
        <xdr:cNvPr id="19" name="Rectangle à coins arrondis 2">
          <a:hlinkClick xmlns:r="http://schemas.openxmlformats.org/officeDocument/2006/relationships" r:id="rId12" tooltip="LE-4"/>
          <a:extLst>
            <a:ext uri="{FF2B5EF4-FFF2-40B4-BE49-F238E27FC236}">
              <a16:creationId xmlns:a16="http://schemas.microsoft.com/office/drawing/2014/main" id="{00000000-0008-0000-3C00-000013000000}"/>
            </a:ext>
          </a:extLst>
        </xdr:cNvPr>
        <xdr:cNvSpPr>
          <a:spLocks noChangeArrowheads="1"/>
        </xdr:cNvSpPr>
      </xdr:nvSpPr>
      <xdr:spPr bwMode="auto">
        <a:xfrm>
          <a:off x="8372475" y="22336125"/>
          <a:ext cx="22296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LE-4 </a:t>
          </a:r>
        </a:p>
      </xdr:txBody>
    </xdr:sp>
    <xdr:clientData/>
  </xdr:twoCellAnchor>
  <xdr:twoCellAnchor>
    <xdr:from>
      <xdr:col>14</xdr:col>
      <xdr:colOff>142875</xdr:colOff>
      <xdr:row>251</xdr:row>
      <xdr:rowOff>47625</xdr:rowOff>
    </xdr:from>
    <xdr:to>
      <xdr:col>17</xdr:col>
      <xdr:colOff>543675</xdr:colOff>
      <xdr:row>252</xdr:row>
      <xdr:rowOff>95400</xdr:rowOff>
    </xdr:to>
    <xdr:sp macro="" textlink="">
      <xdr:nvSpPr>
        <xdr:cNvPr id="22" name="Rectangle à coins arrondis 2">
          <a:hlinkClick xmlns:r="http://schemas.openxmlformats.org/officeDocument/2006/relationships" r:id="rId13" tooltip="LE-7"/>
          <a:extLst>
            <a:ext uri="{FF2B5EF4-FFF2-40B4-BE49-F238E27FC236}">
              <a16:creationId xmlns:a16="http://schemas.microsoft.com/office/drawing/2014/main" id="{00000000-0008-0000-3C00-000016000000}"/>
            </a:ext>
          </a:extLst>
        </xdr:cNvPr>
        <xdr:cNvSpPr>
          <a:spLocks noChangeArrowheads="1"/>
        </xdr:cNvSpPr>
      </xdr:nvSpPr>
      <xdr:spPr bwMode="auto">
        <a:xfrm>
          <a:off x="8734425" y="27793950"/>
          <a:ext cx="22296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LE-7 </a:t>
          </a:r>
        </a:p>
      </xdr:txBody>
    </xdr:sp>
    <xdr:clientData/>
  </xdr:twoCellAnchor>
  <xdr:twoCellAnchor>
    <xdr:from>
      <xdr:col>11</xdr:col>
      <xdr:colOff>342900</xdr:colOff>
      <xdr:row>2</xdr:row>
      <xdr:rowOff>0</xdr:rowOff>
    </xdr:from>
    <xdr:to>
      <xdr:col>14</xdr:col>
      <xdr:colOff>314100</xdr:colOff>
      <xdr:row>3</xdr:row>
      <xdr:rowOff>57300</xdr:rowOff>
    </xdr:to>
    <xdr:sp macro="" textlink="">
      <xdr:nvSpPr>
        <xdr:cNvPr id="24" name="Rectangle à coins arrondis 2">
          <a:hlinkClick xmlns:r="http://schemas.openxmlformats.org/officeDocument/2006/relationships" r:id="rId14" tooltip="E-1"/>
          <a:extLst>
            <a:ext uri="{FF2B5EF4-FFF2-40B4-BE49-F238E27FC236}">
              <a16:creationId xmlns:a16="http://schemas.microsoft.com/office/drawing/2014/main" id="{00000000-0008-0000-3C00-000018000000}"/>
            </a:ext>
          </a:extLst>
        </xdr:cNvPr>
        <xdr:cNvSpPr>
          <a:spLocks noChangeArrowheads="1"/>
        </xdr:cNvSpPr>
      </xdr:nvSpPr>
      <xdr:spPr bwMode="auto">
        <a:xfrm>
          <a:off x="7553325" y="609600"/>
          <a:ext cx="1800000" cy="324000"/>
        </a:xfrm>
        <a:prstGeom prst="roundRect">
          <a:avLst>
            <a:gd name="adj" fmla="val 16667"/>
          </a:avLst>
        </a:prstGeom>
        <a:solidFill>
          <a:srgbClr val="58B5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E-1</a:t>
          </a:r>
        </a:p>
      </xdr:txBody>
    </xdr:sp>
    <xdr:clientData/>
  </xdr:twoCellAnchor>
  <xdr:twoCellAnchor>
    <xdr:from>
      <xdr:col>15</xdr:col>
      <xdr:colOff>38100</xdr:colOff>
      <xdr:row>61</xdr:row>
      <xdr:rowOff>66675</xdr:rowOff>
    </xdr:from>
    <xdr:to>
      <xdr:col>17</xdr:col>
      <xdr:colOff>438900</xdr:colOff>
      <xdr:row>62</xdr:row>
      <xdr:rowOff>76350</xdr:rowOff>
    </xdr:to>
    <xdr:sp macro="" textlink="">
      <xdr:nvSpPr>
        <xdr:cNvPr id="25" name="Rectangle à coins arrondis 2">
          <a:hlinkClick xmlns:r="http://schemas.openxmlformats.org/officeDocument/2006/relationships" r:id="rId15" tooltip="W1"/>
          <a:extLst>
            <a:ext uri="{FF2B5EF4-FFF2-40B4-BE49-F238E27FC236}">
              <a16:creationId xmlns:a16="http://schemas.microsoft.com/office/drawing/2014/main" id="{00000000-0008-0000-3C00-000019000000}"/>
            </a:ext>
          </a:extLst>
        </xdr:cNvPr>
        <xdr:cNvSpPr>
          <a:spLocks noChangeArrowheads="1"/>
        </xdr:cNvSpPr>
      </xdr:nvSpPr>
      <xdr:spPr bwMode="auto">
        <a:xfrm>
          <a:off x="9686925" y="12944475"/>
          <a:ext cx="1620000" cy="30495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W-1</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4</xdr:col>
      <xdr:colOff>619125</xdr:colOff>
      <xdr:row>141</xdr:row>
      <xdr:rowOff>161925</xdr:rowOff>
    </xdr:from>
    <xdr:to>
      <xdr:col>7</xdr:col>
      <xdr:colOff>114300</xdr:colOff>
      <xdr:row>143</xdr:row>
      <xdr:rowOff>190500</xdr:rowOff>
    </xdr:to>
    <xdr:pic>
      <xdr:nvPicPr>
        <xdr:cNvPr id="2" name="Picture 1">
          <a:extLst>
            <a:ext uri="{FF2B5EF4-FFF2-40B4-BE49-F238E27FC236}">
              <a16:creationId xmlns:a16="http://schemas.microsoft.com/office/drawing/2014/main" id="{00000000-0008-0000-3D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924300" y="27308175"/>
          <a:ext cx="17811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190500</xdr:colOff>
          <xdr:row>35</xdr:row>
          <xdr:rowOff>171450</xdr:rowOff>
        </xdr:from>
        <xdr:to>
          <xdr:col>4</xdr:col>
          <xdr:colOff>495300</xdr:colOff>
          <xdr:row>37</xdr:row>
          <xdr:rowOff>0</xdr:rowOff>
        </xdr:to>
        <xdr:sp macro="" textlink="">
          <xdr:nvSpPr>
            <xdr:cNvPr id="167937" name="Check Box 1" hidden="1">
              <a:extLst>
                <a:ext uri="{63B3BB69-23CF-44E3-9099-C40C66FF867C}">
                  <a14:compatExt spid="_x0000_s167937"/>
                </a:ext>
                <a:ext uri="{FF2B5EF4-FFF2-40B4-BE49-F238E27FC236}">
                  <a16:creationId xmlns:a16="http://schemas.microsoft.com/office/drawing/2014/main" id="{00000000-0008-0000-3E00-000001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37</xdr:row>
          <xdr:rowOff>0</xdr:rowOff>
        </xdr:from>
        <xdr:to>
          <xdr:col>4</xdr:col>
          <xdr:colOff>495300</xdr:colOff>
          <xdr:row>38</xdr:row>
          <xdr:rowOff>19050</xdr:rowOff>
        </xdr:to>
        <xdr:sp macro="" textlink="">
          <xdr:nvSpPr>
            <xdr:cNvPr id="167939" name="Check Box 3" hidden="1">
              <a:extLst>
                <a:ext uri="{63B3BB69-23CF-44E3-9099-C40C66FF867C}">
                  <a14:compatExt spid="_x0000_s167939"/>
                </a:ext>
                <a:ext uri="{FF2B5EF4-FFF2-40B4-BE49-F238E27FC236}">
                  <a16:creationId xmlns:a16="http://schemas.microsoft.com/office/drawing/2014/main" id="{00000000-0008-0000-3E00-000003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171450</xdr:rowOff>
        </xdr:from>
        <xdr:to>
          <xdr:col>9</xdr:col>
          <xdr:colOff>495300</xdr:colOff>
          <xdr:row>37</xdr:row>
          <xdr:rowOff>0</xdr:rowOff>
        </xdr:to>
        <xdr:sp macro="" textlink="">
          <xdr:nvSpPr>
            <xdr:cNvPr id="167943" name="Check Box 7" hidden="1">
              <a:extLst>
                <a:ext uri="{63B3BB69-23CF-44E3-9099-C40C66FF867C}">
                  <a14:compatExt spid="_x0000_s167943"/>
                </a:ext>
                <a:ext uri="{FF2B5EF4-FFF2-40B4-BE49-F238E27FC236}">
                  <a16:creationId xmlns:a16="http://schemas.microsoft.com/office/drawing/2014/main" id="{00000000-0008-0000-3E00-000007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9</xdr:col>
          <xdr:colOff>495300</xdr:colOff>
          <xdr:row>38</xdr:row>
          <xdr:rowOff>19050</xdr:rowOff>
        </xdr:to>
        <xdr:sp macro="" textlink="">
          <xdr:nvSpPr>
            <xdr:cNvPr id="167944" name="Check Box 8" hidden="1">
              <a:extLst>
                <a:ext uri="{63B3BB69-23CF-44E3-9099-C40C66FF867C}">
                  <a14:compatExt spid="_x0000_s167944"/>
                </a:ext>
                <a:ext uri="{FF2B5EF4-FFF2-40B4-BE49-F238E27FC236}">
                  <a16:creationId xmlns:a16="http://schemas.microsoft.com/office/drawing/2014/main" id="{00000000-0008-0000-3E00-000008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27</xdr:row>
          <xdr:rowOff>171450</xdr:rowOff>
        </xdr:from>
        <xdr:to>
          <xdr:col>4</xdr:col>
          <xdr:colOff>495300</xdr:colOff>
          <xdr:row>29</xdr:row>
          <xdr:rowOff>9525</xdr:rowOff>
        </xdr:to>
        <xdr:sp macro="" textlink="">
          <xdr:nvSpPr>
            <xdr:cNvPr id="167947" name="Check Box 11" hidden="1">
              <a:extLst>
                <a:ext uri="{63B3BB69-23CF-44E3-9099-C40C66FF867C}">
                  <a14:compatExt spid="_x0000_s167947"/>
                </a:ext>
                <a:ext uri="{FF2B5EF4-FFF2-40B4-BE49-F238E27FC236}">
                  <a16:creationId xmlns:a16="http://schemas.microsoft.com/office/drawing/2014/main" id="{00000000-0008-0000-3E00-00000B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171450</xdr:rowOff>
        </xdr:from>
        <xdr:to>
          <xdr:col>9</xdr:col>
          <xdr:colOff>495300</xdr:colOff>
          <xdr:row>29</xdr:row>
          <xdr:rowOff>9525</xdr:rowOff>
        </xdr:to>
        <xdr:sp macro="" textlink="">
          <xdr:nvSpPr>
            <xdr:cNvPr id="167948" name="Check Box 12" hidden="1">
              <a:extLst>
                <a:ext uri="{63B3BB69-23CF-44E3-9099-C40C66FF867C}">
                  <a14:compatExt spid="_x0000_s167948"/>
                </a:ext>
                <a:ext uri="{FF2B5EF4-FFF2-40B4-BE49-F238E27FC236}">
                  <a16:creationId xmlns:a16="http://schemas.microsoft.com/office/drawing/2014/main" id="{00000000-0008-0000-3E00-00000C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xdr:row>
          <xdr:rowOff>171450</xdr:rowOff>
        </xdr:from>
        <xdr:to>
          <xdr:col>4</xdr:col>
          <xdr:colOff>495300</xdr:colOff>
          <xdr:row>19</xdr:row>
          <xdr:rowOff>9525</xdr:rowOff>
        </xdr:to>
        <xdr:sp macro="" textlink="">
          <xdr:nvSpPr>
            <xdr:cNvPr id="167953" name="Check Box 17" hidden="1">
              <a:extLst>
                <a:ext uri="{63B3BB69-23CF-44E3-9099-C40C66FF867C}">
                  <a14:compatExt spid="_x0000_s167953"/>
                </a:ext>
                <a:ext uri="{FF2B5EF4-FFF2-40B4-BE49-F238E27FC236}">
                  <a16:creationId xmlns:a16="http://schemas.microsoft.com/office/drawing/2014/main" id="{00000000-0008-0000-3E00-000011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17</xdr:row>
          <xdr:rowOff>171450</xdr:rowOff>
        </xdr:from>
        <xdr:to>
          <xdr:col>9</xdr:col>
          <xdr:colOff>495300</xdr:colOff>
          <xdr:row>19</xdr:row>
          <xdr:rowOff>9525</xdr:rowOff>
        </xdr:to>
        <xdr:sp macro="" textlink="">
          <xdr:nvSpPr>
            <xdr:cNvPr id="167954" name="Check Box 18" hidden="1">
              <a:extLst>
                <a:ext uri="{63B3BB69-23CF-44E3-9099-C40C66FF867C}">
                  <a14:compatExt spid="_x0000_s167954"/>
                </a:ext>
                <a:ext uri="{FF2B5EF4-FFF2-40B4-BE49-F238E27FC236}">
                  <a16:creationId xmlns:a16="http://schemas.microsoft.com/office/drawing/2014/main" id="{00000000-0008-0000-3E00-000012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20</xdr:row>
          <xdr:rowOff>171450</xdr:rowOff>
        </xdr:from>
        <xdr:to>
          <xdr:col>4</xdr:col>
          <xdr:colOff>495300</xdr:colOff>
          <xdr:row>22</xdr:row>
          <xdr:rowOff>9525</xdr:rowOff>
        </xdr:to>
        <xdr:sp macro="" textlink="">
          <xdr:nvSpPr>
            <xdr:cNvPr id="167955" name="Check Box 19" hidden="1">
              <a:extLst>
                <a:ext uri="{63B3BB69-23CF-44E3-9099-C40C66FF867C}">
                  <a14:compatExt spid="_x0000_s167955"/>
                </a:ext>
                <a:ext uri="{FF2B5EF4-FFF2-40B4-BE49-F238E27FC236}">
                  <a16:creationId xmlns:a16="http://schemas.microsoft.com/office/drawing/2014/main" id="{00000000-0008-0000-3E00-000013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20</xdr:row>
          <xdr:rowOff>171450</xdr:rowOff>
        </xdr:from>
        <xdr:to>
          <xdr:col>9</xdr:col>
          <xdr:colOff>495300</xdr:colOff>
          <xdr:row>22</xdr:row>
          <xdr:rowOff>9525</xdr:rowOff>
        </xdr:to>
        <xdr:sp macro="" textlink="">
          <xdr:nvSpPr>
            <xdr:cNvPr id="167956" name="Check Box 20" hidden="1">
              <a:extLst>
                <a:ext uri="{63B3BB69-23CF-44E3-9099-C40C66FF867C}">
                  <a14:compatExt spid="_x0000_s167956"/>
                </a:ext>
                <a:ext uri="{FF2B5EF4-FFF2-40B4-BE49-F238E27FC236}">
                  <a16:creationId xmlns:a16="http://schemas.microsoft.com/office/drawing/2014/main" id="{00000000-0008-0000-3E00-000014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1095375</xdr:colOff>
      <xdr:row>11</xdr:row>
      <xdr:rowOff>66675</xdr:rowOff>
    </xdr:from>
    <xdr:to>
      <xdr:col>11</xdr:col>
      <xdr:colOff>1285875</xdr:colOff>
      <xdr:row>13</xdr:row>
      <xdr:rowOff>74250</xdr:rowOff>
    </xdr:to>
    <xdr:sp macro="" textlink="">
      <xdr:nvSpPr>
        <xdr:cNvPr id="18" name="Rectangle à coins arrondis 2">
          <a:hlinkClick xmlns:r="http://schemas.openxmlformats.org/officeDocument/2006/relationships" r:id="rId1" tooltip="Example"/>
          <a:extLst>
            <a:ext uri="{FF2B5EF4-FFF2-40B4-BE49-F238E27FC236}">
              <a16:creationId xmlns:a16="http://schemas.microsoft.com/office/drawing/2014/main" id="{00000000-0008-0000-3E00-000012000000}"/>
            </a:ext>
          </a:extLst>
        </xdr:cNvPr>
        <xdr:cNvSpPr>
          <a:spLocks noChangeArrowheads="1"/>
        </xdr:cNvSpPr>
      </xdr:nvSpPr>
      <xdr:spPr bwMode="auto">
        <a:xfrm>
          <a:off x="6829425" y="1971675"/>
          <a:ext cx="1609725" cy="360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Example</a:t>
          </a:r>
        </a:p>
      </xdr:txBody>
    </xdr:sp>
    <xdr:clientData/>
  </xdr:twoCellAnchor>
  <xdr:twoCellAnchor>
    <xdr:from>
      <xdr:col>13</xdr:col>
      <xdr:colOff>853575</xdr:colOff>
      <xdr:row>0</xdr:row>
      <xdr:rowOff>28575</xdr:rowOff>
    </xdr:from>
    <xdr:to>
      <xdr:col>14</xdr:col>
      <xdr:colOff>514350</xdr:colOff>
      <xdr:row>0</xdr:row>
      <xdr:rowOff>316575</xdr:rowOff>
    </xdr:to>
    <xdr:sp macro="" textlink="">
      <xdr:nvSpPr>
        <xdr:cNvPr id="14" name="Rectangle à coins arrondis 2">
          <a:hlinkClick xmlns:r="http://schemas.openxmlformats.org/officeDocument/2006/relationships" r:id="rId2" tooltip="Scorecard"/>
          <a:extLst>
            <a:ext uri="{FF2B5EF4-FFF2-40B4-BE49-F238E27FC236}">
              <a16:creationId xmlns:a16="http://schemas.microsoft.com/office/drawing/2014/main" id="{00000000-0008-0000-3E00-00000E000000}"/>
            </a:ext>
          </a:extLst>
        </xdr:cNvPr>
        <xdr:cNvSpPr>
          <a:spLocks noChangeArrowheads="1"/>
        </xdr:cNvSpPr>
      </xdr:nvSpPr>
      <xdr:spPr bwMode="auto">
        <a:xfrm>
          <a:off x="10845300" y="2857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12</xdr:col>
      <xdr:colOff>1110724</xdr:colOff>
      <xdr:row>0</xdr:row>
      <xdr:rowOff>28575</xdr:rowOff>
    </xdr:from>
    <xdr:to>
      <xdr:col>13</xdr:col>
      <xdr:colOff>771499</xdr:colOff>
      <xdr:row>0</xdr:row>
      <xdr:rowOff>316575</xdr:rowOff>
    </xdr:to>
    <xdr:sp macro="" textlink="">
      <xdr:nvSpPr>
        <xdr:cNvPr id="15" name="Rectangle à coins arrondis 2">
          <a:hlinkClick xmlns:r="http://schemas.openxmlformats.org/officeDocument/2006/relationships" r:id="rId3" tooltip="Instructions"/>
          <a:extLst>
            <a:ext uri="{FF2B5EF4-FFF2-40B4-BE49-F238E27FC236}">
              <a16:creationId xmlns:a16="http://schemas.microsoft.com/office/drawing/2014/main" id="{00000000-0008-0000-3E00-00000F000000}"/>
            </a:ext>
          </a:extLst>
        </xdr:cNvPr>
        <xdr:cNvSpPr>
          <a:spLocks noChangeArrowheads="1"/>
        </xdr:cNvSpPr>
      </xdr:nvSpPr>
      <xdr:spPr bwMode="auto">
        <a:xfrm>
          <a:off x="9683224" y="2857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11</xdr:col>
      <xdr:colOff>1323975</xdr:colOff>
      <xdr:row>0</xdr:row>
      <xdr:rowOff>28575</xdr:rowOff>
    </xdr:from>
    <xdr:to>
      <xdr:col>12</xdr:col>
      <xdr:colOff>984750</xdr:colOff>
      <xdr:row>0</xdr:row>
      <xdr:rowOff>316575</xdr:rowOff>
    </xdr:to>
    <xdr:sp macro="" textlink="">
      <xdr:nvSpPr>
        <xdr:cNvPr id="16" name="Rectangle à coins arrondis 2">
          <a:hlinkClick xmlns:r="http://schemas.openxmlformats.org/officeDocument/2006/relationships" r:id="rId4" tooltip="Introduction"/>
          <a:extLst>
            <a:ext uri="{FF2B5EF4-FFF2-40B4-BE49-F238E27FC236}">
              <a16:creationId xmlns:a16="http://schemas.microsoft.com/office/drawing/2014/main" id="{00000000-0008-0000-3E00-000010000000}"/>
            </a:ext>
          </a:extLst>
        </xdr:cNvPr>
        <xdr:cNvSpPr>
          <a:spLocks noChangeArrowheads="1"/>
        </xdr:cNvSpPr>
      </xdr:nvSpPr>
      <xdr:spPr bwMode="auto">
        <a:xfrm>
          <a:off x="8477250" y="2857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9525</xdr:colOff>
      <xdr:row>0</xdr:row>
      <xdr:rowOff>0</xdr:rowOff>
    </xdr:from>
    <xdr:to>
      <xdr:col>7</xdr:col>
      <xdr:colOff>156075</xdr:colOff>
      <xdr:row>2</xdr:row>
      <xdr:rowOff>52018</xdr:rowOff>
    </xdr:to>
    <xdr:pic>
      <xdr:nvPicPr>
        <xdr:cNvPr id="2" name="Picture 1" descr="\\VGBC_NAS\VGBC_Network\VGBC Shared\Admin and Communication\Artwork\VGBC Artwork Guidelines\VGBC Artwork Guideline Images\VGBC Logo\VGBC_logo_trans.png">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015" r="3298"/>
        <a:stretch/>
      </xdr:blipFill>
      <xdr:spPr bwMode="auto">
        <a:xfrm>
          <a:off x="4514850" y="0"/>
          <a:ext cx="1080000" cy="89021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28576</xdr:colOff>
      <xdr:row>0</xdr:row>
      <xdr:rowOff>47625</xdr:rowOff>
    </xdr:from>
    <xdr:to>
      <xdr:col>14</xdr:col>
      <xdr:colOff>498976</xdr:colOff>
      <xdr:row>0</xdr:row>
      <xdr:rowOff>335625</xdr:rowOff>
    </xdr:to>
    <xdr:sp macro="" textlink="">
      <xdr:nvSpPr>
        <xdr:cNvPr id="7" name="Rectangle à coins arrondis 2">
          <a:hlinkClick xmlns:r="http://schemas.openxmlformats.org/officeDocument/2006/relationships" r:id="rId1" tooltip="Scorecard"/>
          <a:extLst>
            <a:ext uri="{FF2B5EF4-FFF2-40B4-BE49-F238E27FC236}">
              <a16:creationId xmlns:a16="http://schemas.microsoft.com/office/drawing/2014/main" id="{00000000-0008-0000-0700-000007000000}"/>
            </a:ext>
          </a:extLst>
        </xdr:cNvPr>
        <xdr:cNvSpPr>
          <a:spLocks noChangeArrowheads="1"/>
        </xdr:cNvSpPr>
      </xdr:nvSpPr>
      <xdr:spPr bwMode="auto">
        <a:xfrm>
          <a:off x="7858126"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Scorecard</a:t>
          </a:r>
        </a:p>
      </xdr:txBody>
    </xdr:sp>
    <xdr:clientData/>
  </xdr:twoCellAnchor>
  <xdr:twoCellAnchor>
    <xdr:from>
      <xdr:col>11</xdr:col>
      <xdr:colOff>43924</xdr:colOff>
      <xdr:row>0</xdr:row>
      <xdr:rowOff>47625</xdr:rowOff>
    </xdr:from>
    <xdr:to>
      <xdr:col>12</xdr:col>
      <xdr:colOff>514324</xdr:colOff>
      <xdr:row>0</xdr:row>
      <xdr:rowOff>335625</xdr:rowOff>
    </xdr:to>
    <xdr:sp macro="" textlink="">
      <xdr:nvSpPr>
        <xdr:cNvPr id="8" name="Rectangle à coins arrondis 2">
          <a:hlinkClick xmlns:r="http://schemas.openxmlformats.org/officeDocument/2006/relationships" r:id="rId2" tooltip="Instructions"/>
          <a:extLst>
            <a:ext uri="{FF2B5EF4-FFF2-40B4-BE49-F238E27FC236}">
              <a16:creationId xmlns:a16="http://schemas.microsoft.com/office/drawing/2014/main" id="{00000000-0008-0000-0700-000008000000}"/>
            </a:ext>
          </a:extLst>
        </xdr:cNvPr>
        <xdr:cNvSpPr>
          <a:spLocks noChangeArrowheads="1"/>
        </xdr:cNvSpPr>
      </xdr:nvSpPr>
      <xdr:spPr bwMode="auto">
        <a:xfrm>
          <a:off x="6654274"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Instructions</a:t>
          </a:r>
        </a:p>
      </xdr:txBody>
    </xdr:sp>
    <xdr:clientData/>
  </xdr:twoCellAnchor>
  <xdr:twoCellAnchor>
    <xdr:from>
      <xdr:col>9</xdr:col>
      <xdr:colOff>228600</xdr:colOff>
      <xdr:row>0</xdr:row>
      <xdr:rowOff>47625</xdr:rowOff>
    </xdr:from>
    <xdr:to>
      <xdr:col>10</xdr:col>
      <xdr:colOff>699000</xdr:colOff>
      <xdr:row>0</xdr:row>
      <xdr:rowOff>335625</xdr:rowOff>
    </xdr:to>
    <xdr:sp macro="" textlink="">
      <xdr:nvSpPr>
        <xdr:cNvPr id="9" name="Rectangle à coins arrondis 2">
          <a:hlinkClick xmlns:r="http://schemas.openxmlformats.org/officeDocument/2006/relationships" r:id="rId3" tooltip="Introduction"/>
          <a:extLst>
            <a:ext uri="{FF2B5EF4-FFF2-40B4-BE49-F238E27FC236}">
              <a16:creationId xmlns:a16="http://schemas.microsoft.com/office/drawing/2014/main" id="{00000000-0008-0000-0700-000009000000}"/>
            </a:ext>
          </a:extLst>
        </xdr:cNvPr>
        <xdr:cNvSpPr>
          <a:spLocks noChangeArrowheads="1"/>
        </xdr:cNvSpPr>
      </xdr:nvSpPr>
      <xdr:spPr bwMode="auto">
        <a:xfrm>
          <a:off x="5448300"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Introduction</a:t>
          </a:r>
        </a:p>
      </xdr:txBody>
    </xdr:sp>
    <xdr:clientData/>
  </xdr:twoCellAnchor>
  <xdr:twoCellAnchor editAs="oneCell">
    <xdr:from>
      <xdr:col>0</xdr:col>
      <xdr:colOff>190500</xdr:colOff>
      <xdr:row>1</xdr:row>
      <xdr:rowOff>47625</xdr:rowOff>
    </xdr:from>
    <xdr:to>
      <xdr:col>1</xdr:col>
      <xdr:colOff>319565</xdr:colOff>
      <xdr:row>2</xdr:row>
      <xdr:rowOff>179025</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00" y="428625"/>
          <a:ext cx="376715" cy="36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66676</xdr:colOff>
      <xdr:row>24</xdr:row>
      <xdr:rowOff>85725</xdr:rowOff>
    </xdr:from>
    <xdr:to>
      <xdr:col>14</xdr:col>
      <xdr:colOff>523876</xdr:colOff>
      <xdr:row>28</xdr:row>
      <xdr:rowOff>276225</xdr:rowOff>
    </xdr:to>
    <xdr:sp macro="" textlink="">
      <xdr:nvSpPr>
        <xdr:cNvPr id="2" name="Rectangle à coins arrondis 2">
          <a:hlinkClick xmlns:r="http://schemas.openxmlformats.org/officeDocument/2006/relationships" r:id="rId1" tooltip="Glossary"/>
          <a:extLst>
            <a:ext uri="{FF2B5EF4-FFF2-40B4-BE49-F238E27FC236}">
              <a16:creationId xmlns:a16="http://schemas.microsoft.com/office/drawing/2014/main" id="{00000000-0008-0000-0800-000002000000}"/>
            </a:ext>
          </a:extLst>
        </xdr:cNvPr>
        <xdr:cNvSpPr>
          <a:spLocks noChangeArrowheads="1"/>
        </xdr:cNvSpPr>
      </xdr:nvSpPr>
      <xdr:spPr bwMode="auto">
        <a:xfrm>
          <a:off x="7896226" y="5734050"/>
          <a:ext cx="1066800" cy="11049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some definitions of submission terms</a:t>
          </a:r>
        </a:p>
      </xdr:txBody>
    </xdr:sp>
    <xdr:clientData/>
  </xdr:twoCellAnchor>
  <xdr:twoCellAnchor editAs="oneCell">
    <xdr:from>
      <xdr:col>0</xdr:col>
      <xdr:colOff>180975</xdr:colOff>
      <xdr:row>1</xdr:row>
      <xdr:rowOff>47625</xdr:rowOff>
    </xdr:from>
    <xdr:to>
      <xdr:col>1</xdr:col>
      <xdr:colOff>310040</xdr:colOff>
      <xdr:row>2</xdr:row>
      <xdr:rowOff>179025</xdr:rowOff>
    </xdr:to>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975" y="428625"/>
          <a:ext cx="376715" cy="360000"/>
        </a:xfrm>
        <a:prstGeom prst="rect">
          <a:avLst/>
        </a:prstGeom>
      </xdr:spPr>
    </xdr:pic>
    <xdr:clientData/>
  </xdr:twoCellAnchor>
  <xdr:twoCellAnchor>
    <xdr:from>
      <xdr:col>13</xdr:col>
      <xdr:colOff>28576</xdr:colOff>
      <xdr:row>0</xdr:row>
      <xdr:rowOff>47625</xdr:rowOff>
    </xdr:from>
    <xdr:to>
      <xdr:col>14</xdr:col>
      <xdr:colOff>498976</xdr:colOff>
      <xdr:row>0</xdr:row>
      <xdr:rowOff>335625</xdr:rowOff>
    </xdr:to>
    <xdr:sp macro="" textlink="">
      <xdr:nvSpPr>
        <xdr:cNvPr id="11" name="Rectangle à coins arrondis 2">
          <a:hlinkClick xmlns:r="http://schemas.openxmlformats.org/officeDocument/2006/relationships" r:id="rId3" tooltip="Scorecard"/>
          <a:extLst>
            <a:ext uri="{FF2B5EF4-FFF2-40B4-BE49-F238E27FC236}">
              <a16:creationId xmlns:a16="http://schemas.microsoft.com/office/drawing/2014/main" id="{00000000-0008-0000-0800-00000B000000}"/>
            </a:ext>
          </a:extLst>
        </xdr:cNvPr>
        <xdr:cNvSpPr>
          <a:spLocks noChangeArrowheads="1"/>
        </xdr:cNvSpPr>
      </xdr:nvSpPr>
      <xdr:spPr bwMode="auto">
        <a:xfrm>
          <a:off x="7858126"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itchFamily="34" charset="0"/>
              <a:cs typeface="Arial" pitchFamily="34" charset="0"/>
            </a:rPr>
            <a:t>Scorecard</a:t>
          </a:r>
        </a:p>
      </xdr:txBody>
    </xdr:sp>
    <xdr:clientData/>
  </xdr:twoCellAnchor>
  <xdr:twoCellAnchor>
    <xdr:from>
      <xdr:col>11</xdr:col>
      <xdr:colOff>43924</xdr:colOff>
      <xdr:row>0</xdr:row>
      <xdr:rowOff>47625</xdr:rowOff>
    </xdr:from>
    <xdr:to>
      <xdr:col>12</xdr:col>
      <xdr:colOff>514324</xdr:colOff>
      <xdr:row>0</xdr:row>
      <xdr:rowOff>335625</xdr:rowOff>
    </xdr:to>
    <xdr:sp macro="" textlink="">
      <xdr:nvSpPr>
        <xdr:cNvPr id="12" name="Rectangle à coins arrondis 2">
          <a:hlinkClick xmlns:r="http://schemas.openxmlformats.org/officeDocument/2006/relationships" r:id="rId4" tooltip="Instructions"/>
          <a:extLst>
            <a:ext uri="{FF2B5EF4-FFF2-40B4-BE49-F238E27FC236}">
              <a16:creationId xmlns:a16="http://schemas.microsoft.com/office/drawing/2014/main" id="{00000000-0008-0000-0800-00000C000000}"/>
            </a:ext>
          </a:extLst>
        </xdr:cNvPr>
        <xdr:cNvSpPr>
          <a:spLocks noChangeArrowheads="1"/>
        </xdr:cNvSpPr>
      </xdr:nvSpPr>
      <xdr:spPr bwMode="auto">
        <a:xfrm>
          <a:off x="6654274"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Instructions</a:t>
          </a:r>
        </a:p>
      </xdr:txBody>
    </xdr:sp>
    <xdr:clientData/>
  </xdr:twoCellAnchor>
  <xdr:twoCellAnchor>
    <xdr:from>
      <xdr:col>9</xdr:col>
      <xdr:colOff>228600</xdr:colOff>
      <xdr:row>0</xdr:row>
      <xdr:rowOff>47625</xdr:rowOff>
    </xdr:from>
    <xdr:to>
      <xdr:col>10</xdr:col>
      <xdr:colOff>699000</xdr:colOff>
      <xdr:row>0</xdr:row>
      <xdr:rowOff>335625</xdr:rowOff>
    </xdr:to>
    <xdr:sp macro="" textlink="">
      <xdr:nvSpPr>
        <xdr:cNvPr id="13" name="Rectangle à coins arrondis 2">
          <a:hlinkClick xmlns:r="http://schemas.openxmlformats.org/officeDocument/2006/relationships" r:id="rId5" tooltip="Introduction"/>
          <a:extLst>
            <a:ext uri="{FF2B5EF4-FFF2-40B4-BE49-F238E27FC236}">
              <a16:creationId xmlns:a16="http://schemas.microsoft.com/office/drawing/2014/main" id="{00000000-0008-0000-0800-00000D000000}"/>
            </a:ext>
          </a:extLst>
        </xdr:cNvPr>
        <xdr:cNvSpPr>
          <a:spLocks noChangeArrowheads="1"/>
        </xdr:cNvSpPr>
      </xdr:nvSpPr>
      <xdr:spPr bwMode="auto">
        <a:xfrm>
          <a:off x="5448300"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76923C"/>
              </a:solidFill>
              <a:latin typeface="Arial" panose="020B0604020202020204" pitchFamily="34" charset="0"/>
              <a:cs typeface="Arial" panose="020B0604020202020204" pitchFamily="34" charset="0"/>
            </a:rPr>
            <a:t>Introduction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GBC_NAS\VGBC_Network\VGBC%20Shared\LOTUS\LOTUS%20Homes\9.%20Final%20Pilot\Released%20on%2006.06.16\LOTUS%20Homes%20Pilot%20-%20User%20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VGBC-HP\Documents\MEGA\LOTUS%20Systems\LOTUS%20Homes\02.%20Homes%20V1\LOTUS%20Homes%20V1%20-%20User%20Tool%20-%2019.09.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VGBC-HP\Documents\MEGA\LOTUS%20Systems\LOTUS%20Small%20Interiors\2_%20LOTUS%20SI%20V1\LOTUS%20Small%20Interiors%20V1%20-%20User%20Too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GBC_NAS\VGBC_Network\VGBC%20Shared\LOTUS\LOTUS%20Interiors\8_%20Draft%20updates\LOTUS%20Interiors%20-%20User%20Tool%20-%20Draft%2008.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GBC_NAS\VGBC_Network\Users\phong.vu\Documents\Xavier\Interiors\LOTUS%20Interiors%20-%20User%20Tool%20-%2025.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Acknowledgments"/>
      <sheetName val="Introduction"/>
      <sheetName val="Instructions"/>
      <sheetName val="Recommendations"/>
      <sheetName val="Project information"/>
      <sheetName val="Application Form"/>
      <sheetName val="Pre-assessment checklist"/>
      <sheetName val="Certification stage checklist "/>
      <sheetName val="LOTUS Homes Scorecard"/>
      <sheetName val="Graphical Results"/>
      <sheetName val="Energy"/>
      <sheetName val="E-1 Passive Design"/>
      <sheetName val="E-2 Building Envelope"/>
      <sheetName val="E-3 Home Cooling"/>
      <sheetName val="E-4 Artificial Lighting"/>
      <sheetName val="E-5 Water Heating"/>
      <sheetName val="E-6 Energy Efficient Appliances"/>
      <sheetName val="E-7 Energy Monitors "/>
      <sheetName val="Energy BPC"/>
      <sheetName val="Water"/>
      <sheetName val="W-1 Water Efficient Fixtures"/>
      <sheetName val="W-2 Water Efficient Landscaping"/>
      <sheetName val="W-3 Drinking Water "/>
      <sheetName val="Water BPC"/>
      <sheetName val="Materials"/>
      <sheetName val="M-1 Structure Materials"/>
      <sheetName val="M-2 Non-structural Walls"/>
      <sheetName val="M-3 Windows and Doors"/>
      <sheetName val="M-4 Flooring Materials"/>
      <sheetName val="M-5 Roofing Materials"/>
      <sheetName val="M-6 Furniture"/>
      <sheetName val="Health &amp; Comfort"/>
      <sheetName val="H-1 Fresh Air Supply"/>
      <sheetName val="H-2 Ventilation in wet areas"/>
      <sheetName val="H-3 Low-VOC Emissions"/>
      <sheetName val="H-4 Daylighting"/>
      <sheetName val="H-5 Acoustic Comfort"/>
      <sheetName val="H&amp;C BPC"/>
      <sheetName val="Local Environment"/>
      <sheetName val="LE-1 Site Selection"/>
      <sheetName val="LE-2 Site design"/>
      <sheetName val="LE-3 Vegetation"/>
      <sheetName val="LE-4 Heat Island Effect"/>
      <sheetName val="LE-5 Storm Water Runoff"/>
      <sheetName val="LE-6 Flood Risk Mitigation"/>
      <sheetName val="LE-7 Refrigerants"/>
      <sheetName val="LE-8 Waste Management"/>
      <sheetName val="LE BPC"/>
      <sheetName val="Community &amp; Management"/>
      <sheetName val="CM-1 Design Stage"/>
      <sheetName val="CM-2 Construction Management"/>
      <sheetName val="CM-3 Operational Management"/>
      <sheetName val="CM BPC"/>
      <sheetName val="Innovation"/>
      <sheetName val="Inn-1 Exceptional Performance "/>
      <sheetName val="Inn-2 Innovative Techniques"/>
      <sheetName val="Glossary"/>
      <sheetName val="Resources"/>
      <sheetName val="Rainfall Data"/>
      <sheetName val="Feedba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00">
          <cell r="O200" t="str">
            <v>Select</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01">
          <cell r="O101" t="str">
            <v>Select</v>
          </cell>
        </row>
        <row r="102">
          <cell r="O102" t="str">
            <v xml:space="preserve">Bank </v>
          </cell>
        </row>
        <row r="103">
          <cell r="O103" t="str">
            <v xml:space="preserve">Beauty/Hairdresser </v>
          </cell>
        </row>
        <row r="104">
          <cell r="O104" t="str">
            <v xml:space="preserve">Cleaners </v>
          </cell>
        </row>
        <row r="105">
          <cell r="O105" t="str">
            <v xml:space="preserve">Community centre </v>
          </cell>
        </row>
        <row r="106">
          <cell r="O106" t="str">
            <v>Convenience grocery</v>
          </cell>
        </row>
        <row r="107">
          <cell r="O107" t="str">
            <v>Day care</v>
          </cell>
        </row>
        <row r="108">
          <cell r="O108" t="str">
            <v>Electronic /Vehicle Repair Shops</v>
          </cell>
        </row>
        <row r="109">
          <cell r="O109" t="str">
            <v>Fitness center/Sport center/Swimming pool</v>
          </cell>
        </row>
        <row r="110">
          <cell r="O110" t="str">
            <v xml:space="preserve">Fire station </v>
          </cell>
        </row>
        <row r="111">
          <cell r="O111" t="str">
            <v xml:space="preserve">Petrol Station </v>
          </cell>
        </row>
        <row r="112">
          <cell r="O112" t="str">
            <v xml:space="preserve">Laundry </v>
          </cell>
        </row>
        <row r="113">
          <cell r="O113" t="str">
            <v xml:space="preserve">Library </v>
          </cell>
        </row>
        <row r="114">
          <cell r="O114" t="str">
            <v xml:space="preserve">Hospital/Clinic/Dental/Optician </v>
          </cell>
        </row>
        <row r="115">
          <cell r="O115" t="str">
            <v xml:space="preserve">Museum </v>
          </cell>
        </row>
        <row r="116">
          <cell r="O116" t="str">
            <v xml:space="preserve">Playground/Park </v>
          </cell>
        </row>
        <row r="117">
          <cell r="O117" t="str">
            <v>Pharmacy</v>
          </cell>
        </row>
        <row r="118">
          <cell r="O118" t="str">
            <v xml:space="preserve">Place of worship </v>
          </cell>
        </row>
        <row r="119">
          <cell r="O119" t="str">
            <v>Police station</v>
          </cell>
        </row>
        <row r="120">
          <cell r="O120" t="str">
            <v xml:space="preserve">Post Office </v>
          </cell>
        </row>
        <row r="121">
          <cell r="O121" t="str">
            <v xml:space="preserve">ATM </v>
          </cell>
        </row>
        <row r="122">
          <cell r="O122" t="str">
            <v>Restaurant/Coffee shop</v>
          </cell>
        </row>
        <row r="123">
          <cell r="O123" t="str">
            <v>School</v>
          </cell>
        </row>
        <row r="124">
          <cell r="O124" t="str">
            <v>Senior care facility</v>
          </cell>
        </row>
        <row r="125">
          <cell r="O125" t="str">
            <v>Supermarket</v>
          </cell>
        </row>
        <row r="126">
          <cell r="O126" t="str">
            <v>Art/Entertainment center</v>
          </cell>
        </row>
        <row r="127">
          <cell r="O127" t="str">
            <v>Bookstore</v>
          </cell>
        </row>
        <row r="128">
          <cell r="O128" t="str">
            <v>Wet market</v>
          </cell>
        </row>
      </sheetData>
      <sheetData sheetId="41" refreshError="1"/>
      <sheetData sheetId="42" refreshError="1"/>
      <sheetData sheetId="43">
        <row r="34">
          <cell r="M34" t="str">
            <v>Select</v>
          </cell>
        </row>
        <row r="35">
          <cell r="M35" t="str">
            <v>low slope</v>
          </cell>
        </row>
        <row r="36">
          <cell r="M36" t="str">
            <v>steep slope</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4">
          <cell r="A4" t="str">
            <v>Select</v>
          </cell>
        </row>
      </sheetData>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Acknowledgments"/>
      <sheetName val="Introduction"/>
      <sheetName val="Instructions"/>
      <sheetName val="Recommendations"/>
      <sheetName val="Project information"/>
      <sheetName val="Application Form"/>
      <sheetName val="Pre-assessment checklist"/>
      <sheetName val="Certification stage checklist "/>
      <sheetName val="LOTUS Homes Scorecard"/>
      <sheetName val="Graphical Results"/>
      <sheetName val="Energy"/>
      <sheetName val="E-1 Passive Design"/>
      <sheetName val="E-2 Building Envelope"/>
      <sheetName val="E-3 Home Cooling"/>
      <sheetName val="E-4 Artificial Lighting"/>
      <sheetName val="E-5 Water Heating"/>
      <sheetName val="E-6 Energy Efficient Appliances"/>
      <sheetName val="E-7 Energy Monitor"/>
      <sheetName val="Energy BPC"/>
      <sheetName val="Water"/>
      <sheetName val="W-1 Water Efficient Fixtures"/>
      <sheetName val="W-2 Water Efficient Landscaping"/>
      <sheetName val="W-3 Drinking Water "/>
      <sheetName val="Water BPC"/>
      <sheetName val="Materials"/>
      <sheetName val="M-1 Structure Materials"/>
      <sheetName val="M-2 Non-structural Walls"/>
      <sheetName val="M-3 Windows and Doors"/>
      <sheetName val="M-4 Flooring Materials"/>
      <sheetName val="M-5 Roofing Materials"/>
      <sheetName val="M-6 Furniture"/>
      <sheetName val="Health &amp; Comfort"/>
      <sheetName val="H-1 Fresh Air Supply"/>
      <sheetName val="H-2 Ventilation in wet areas"/>
      <sheetName val="H-3 Low-VOC Emissions "/>
      <sheetName val="H-4 Daylighting"/>
      <sheetName val="H-5 Acoustic Comfort"/>
      <sheetName val="H&amp;C BPC"/>
      <sheetName val="Local Environment"/>
      <sheetName val="LE-1 Site Selection"/>
      <sheetName val="LE-2 Site design"/>
      <sheetName val="LE-3 Vegetation"/>
      <sheetName val="LE-4 Heat Island Effect"/>
      <sheetName val="LE-5 Storm Water Runoff"/>
      <sheetName val="LE-6 Flood Risk Mitigation"/>
      <sheetName val="LE-7 Refrigerants"/>
      <sheetName val="LE-8 Waste Management"/>
      <sheetName val="LE BPC"/>
      <sheetName val="Community &amp; Management"/>
      <sheetName val="CM-1 Design Stage"/>
      <sheetName val="CM-2 Construction Management"/>
      <sheetName val="CM-3 Operational Management"/>
      <sheetName val="CM BPC"/>
      <sheetName val="Innovation"/>
      <sheetName val="Inn-1 Exceptional Performance "/>
      <sheetName val="Inn-2 Innovative Techniques"/>
      <sheetName val="Glossary"/>
      <sheetName val="Resources"/>
      <sheetName val="Rainfall Data"/>
      <sheetName val="Feedba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0">
          <cell r="P70" t="str">
            <v>Select</v>
          </cell>
        </row>
        <row r="71">
          <cell r="P71" t="str">
            <v>1. Hotels, motels</v>
          </cell>
        </row>
        <row r="72">
          <cell r="P72" t="str">
            <v>2. Laundry shops</v>
          </cell>
        </row>
        <row r="73">
          <cell r="P73" t="str">
            <v>3. Restaurants, coffee shops</v>
          </cell>
        </row>
        <row r="74">
          <cell r="P74" t="str">
            <v>4. Theaters</v>
          </cell>
        </row>
        <row r="75">
          <cell r="P75" t="str">
            <v>5. Educational buildings</v>
          </cell>
        </row>
        <row r="76">
          <cell r="P76" t="str">
            <v>6. Hospitals, clinics, retirement homes</v>
          </cell>
        </row>
        <row r="77">
          <cell r="P77" t="str">
            <v>7. Sports and Entertainment</v>
          </cell>
        </row>
        <row r="78">
          <cell r="P78" t="str">
            <v>8. Public spaces</v>
          </cell>
        </row>
        <row r="79">
          <cell r="P79" t="str">
            <v>9. Special retail spaces</v>
          </cell>
        </row>
        <row r="80">
          <cell r="P80" t="str">
            <v>10. Bus station, train station</v>
          </cell>
        </row>
        <row r="81">
          <cell r="P81" t="str">
            <v>11. Administrative buildings</v>
          </cell>
        </row>
        <row r="82">
          <cell r="P82" t="str">
            <v>12. Residential buildings</v>
          </cell>
        </row>
      </sheetData>
      <sheetData sheetId="34"/>
      <sheetData sheetId="35"/>
      <sheetData sheetId="36"/>
      <sheetData sheetId="37"/>
      <sheetData sheetId="38"/>
      <sheetData sheetId="39"/>
      <sheetData sheetId="40">
        <row r="101">
          <cell r="O101" t="str">
            <v>Select</v>
          </cell>
        </row>
        <row r="102">
          <cell r="O102" t="str">
            <v xml:space="preserve">Bank </v>
          </cell>
        </row>
        <row r="103">
          <cell r="O103" t="str">
            <v xml:space="preserve">Beauty/Hairdresser </v>
          </cell>
        </row>
        <row r="104">
          <cell r="O104" t="str">
            <v xml:space="preserve">Cleaners </v>
          </cell>
        </row>
        <row r="105">
          <cell r="O105" t="str">
            <v xml:space="preserve">Community centre </v>
          </cell>
        </row>
        <row r="106">
          <cell r="O106" t="str">
            <v>Convenience grocery</v>
          </cell>
        </row>
        <row r="107">
          <cell r="O107" t="str">
            <v>Day care</v>
          </cell>
        </row>
        <row r="108">
          <cell r="O108" t="str">
            <v>Electronic /Vehicle Repair Shops</v>
          </cell>
        </row>
        <row r="109">
          <cell r="O109" t="str">
            <v>Fitness center/Sport center/Swimming pool</v>
          </cell>
        </row>
        <row r="110">
          <cell r="O110" t="str">
            <v xml:space="preserve">Fire station </v>
          </cell>
        </row>
        <row r="111">
          <cell r="O111" t="str">
            <v xml:space="preserve">Petrol Station </v>
          </cell>
        </row>
        <row r="112">
          <cell r="O112" t="str">
            <v xml:space="preserve">Laundry </v>
          </cell>
        </row>
        <row r="113">
          <cell r="O113" t="str">
            <v xml:space="preserve">Library </v>
          </cell>
        </row>
        <row r="114">
          <cell r="O114" t="str">
            <v xml:space="preserve">Hospital/Clinic/Dental/Optician </v>
          </cell>
        </row>
        <row r="115">
          <cell r="O115" t="str">
            <v xml:space="preserve">Museum </v>
          </cell>
        </row>
        <row r="116">
          <cell r="O116" t="str">
            <v xml:space="preserve">Playground/Park </v>
          </cell>
        </row>
        <row r="117">
          <cell r="O117" t="str">
            <v>Pharmacy</v>
          </cell>
        </row>
        <row r="118">
          <cell r="O118" t="str">
            <v xml:space="preserve">Place of worship </v>
          </cell>
        </row>
        <row r="119">
          <cell r="O119" t="str">
            <v>Police station</v>
          </cell>
        </row>
        <row r="120">
          <cell r="O120" t="str">
            <v xml:space="preserve">Post Office </v>
          </cell>
        </row>
        <row r="121">
          <cell r="O121" t="str">
            <v xml:space="preserve">ATM </v>
          </cell>
        </row>
        <row r="122">
          <cell r="O122" t="str">
            <v>Restaurant/Coffee shop</v>
          </cell>
        </row>
        <row r="123">
          <cell r="O123" t="str">
            <v>School</v>
          </cell>
        </row>
        <row r="124">
          <cell r="O124" t="str">
            <v>Senior care facility</v>
          </cell>
        </row>
        <row r="125">
          <cell r="O125" t="str">
            <v>Supermarket</v>
          </cell>
        </row>
        <row r="126">
          <cell r="O126" t="str">
            <v>Art/Entertainment center</v>
          </cell>
        </row>
        <row r="127">
          <cell r="O127" t="str">
            <v>Bookstore</v>
          </cell>
        </row>
        <row r="128">
          <cell r="O128" t="str">
            <v>Wet market</v>
          </cell>
        </row>
      </sheetData>
      <sheetData sheetId="41"/>
      <sheetData sheetId="42"/>
      <sheetData sheetId="43">
        <row r="34">
          <cell r="M34" t="str">
            <v>Select</v>
          </cell>
        </row>
        <row r="35">
          <cell r="M35" t="str">
            <v>low slope</v>
          </cell>
        </row>
        <row r="36">
          <cell r="M36" t="str">
            <v>steep slope</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4">
          <cell r="A4" t="str">
            <v>Select</v>
          </cell>
        </row>
        <row r="5">
          <cell r="A5" t="str">
            <v>Ba Vì</v>
          </cell>
        </row>
        <row r="6">
          <cell r="A6" t="str">
            <v>Bắc Giang</v>
          </cell>
        </row>
        <row r="7">
          <cell r="A7" t="str">
            <v>Bắc Kạn</v>
          </cell>
        </row>
        <row r="8">
          <cell r="A8" t="str">
            <v>BuônMaThuật</v>
          </cell>
        </row>
        <row r="9">
          <cell r="A9" t="str">
            <v>Cà Mau</v>
          </cell>
        </row>
        <row r="10">
          <cell r="A10" t="str">
            <v>Cam Ranh</v>
          </cell>
        </row>
        <row r="11">
          <cell r="A11" t="str">
            <v>Cần Thơ</v>
          </cell>
        </row>
        <row r="12">
          <cell r="A12" t="str">
            <v xml:space="preserve">Càng Long </v>
          </cell>
        </row>
        <row r="13">
          <cell r="A13" t="str">
            <v>Cao Bằng</v>
          </cell>
        </row>
        <row r="14">
          <cell r="A14" t="str">
            <v>Cao Lãnh</v>
          </cell>
        </row>
        <row r="15">
          <cell r="A15" t="str">
            <v>Chấu Đốc</v>
          </cell>
        </row>
        <row r="16">
          <cell r="A16" t="str">
            <v>Côn Sơn</v>
          </cell>
        </row>
        <row r="17">
          <cell r="A17" t="str">
            <v>Cửa Ông</v>
          </cell>
        </row>
        <row r="18">
          <cell r="A18" t="str">
            <v>Đà Lạt</v>
          </cell>
        </row>
        <row r="19">
          <cell r="A19" t="str">
            <v>Đà Nẵng</v>
          </cell>
        </row>
        <row r="20">
          <cell r="A20" t="str">
            <v>Điện Biên</v>
          </cell>
        </row>
        <row r="21">
          <cell r="A21" t="str">
            <v xml:space="preserve">Đông Hà </v>
          </cell>
        </row>
        <row r="22">
          <cell r="A22" t="str">
            <v>Đồng Hới</v>
          </cell>
        </row>
        <row r="23">
          <cell r="A23" t="str">
            <v>Hà Đông</v>
          </cell>
        </row>
        <row r="24">
          <cell r="A24" t="str">
            <v>Hà Giang</v>
          </cell>
        </row>
        <row r="25">
          <cell r="A25" t="str">
            <v>Hà Nội</v>
          </cell>
        </row>
        <row r="26">
          <cell r="A26" t="str">
            <v>Hà Tĩnh</v>
          </cell>
        </row>
        <row r="27">
          <cell r="A27" t="str">
            <v>Hải Dương</v>
          </cell>
        </row>
        <row r="28">
          <cell r="A28" t="str">
            <v>Hoà Bình</v>
          </cell>
        </row>
        <row r="29">
          <cell r="A29" t="str">
            <v>Hoàng Sa</v>
          </cell>
        </row>
        <row r="30">
          <cell r="A30" t="str">
            <v>Hòn Gai</v>
          </cell>
        </row>
        <row r="31">
          <cell r="A31" t="str">
            <v>Huế</v>
          </cell>
        </row>
        <row r="32">
          <cell r="A32" t="str">
            <v>Hưng Yên</v>
          </cell>
        </row>
        <row r="33">
          <cell r="A33" t="str">
            <v>Kon Tum</v>
          </cell>
        </row>
        <row r="34">
          <cell r="A34" t="str">
            <v>Lai Châu</v>
          </cell>
        </row>
        <row r="35">
          <cell r="A35" t="str">
            <v>Lạng Sơn</v>
          </cell>
        </row>
        <row r="36">
          <cell r="A36" t="str">
            <v>Lào Cai</v>
          </cell>
        </row>
        <row r="37">
          <cell r="A37" t="str">
            <v>Mộc Hoá</v>
          </cell>
        </row>
        <row r="38">
          <cell r="A38" t="str">
            <v>Mỹ Tho</v>
          </cell>
        </row>
        <row r="39">
          <cell r="A39" t="str">
            <v>Nam Định</v>
          </cell>
        </row>
        <row r="40">
          <cell r="A40" t="str">
            <v>Nha Trang</v>
          </cell>
        </row>
        <row r="41">
          <cell r="A41" t="str">
            <v>Ninh Bình</v>
          </cell>
        </row>
        <row r="42">
          <cell r="A42" t="str">
            <v>Phan Thiết</v>
          </cell>
        </row>
        <row r="43">
          <cell r="A43" t="str">
            <v>Phủ Liễn</v>
          </cell>
        </row>
        <row r="44">
          <cell r="A44" t="str">
            <v>Phú Quốc</v>
          </cell>
        </row>
        <row r="45">
          <cell r="A45" t="str">
            <v>Phước Long</v>
          </cell>
        </row>
        <row r="46">
          <cell r="A46" t="str">
            <v>Plâycu</v>
          </cell>
        </row>
        <row r="47">
          <cell r="A47" t="str">
            <v>Quảng Ngãi</v>
          </cell>
        </row>
        <row r="48">
          <cell r="A48" t="str">
            <v>Quy Nhơn</v>
          </cell>
        </row>
        <row r="49">
          <cell r="A49" t="str">
            <v>Rạch Giá</v>
          </cell>
        </row>
        <row r="50">
          <cell r="A50" t="str">
            <v>Sa Pa</v>
          </cell>
        </row>
        <row r="51">
          <cell r="A51" t="str">
            <v>Sóc Trăng</v>
          </cell>
        </row>
        <row r="52">
          <cell r="A52" t="str">
            <v>Sơn La</v>
          </cell>
        </row>
        <row r="53">
          <cell r="A53" t="str">
            <v>Sơn Tây</v>
          </cell>
        </row>
        <row r="54">
          <cell r="A54" t="str">
            <v>Tam Đảo</v>
          </cell>
        </row>
        <row r="55">
          <cell r="A55" t="str">
            <v>Tân Sơn Nhất</v>
          </cell>
        </row>
        <row r="56">
          <cell r="A56" t="str">
            <v>Tây Ninh</v>
          </cell>
        </row>
        <row r="57">
          <cell r="A57" t="str">
            <v>Thái Bình</v>
          </cell>
        </row>
        <row r="58">
          <cell r="A58" t="str">
            <v>Thái Nguyên</v>
          </cell>
        </row>
        <row r="59">
          <cell r="A59" t="str">
            <v>Thanh Hóa</v>
          </cell>
        </row>
        <row r="60">
          <cell r="A60" t="str">
            <v>Trường Sa</v>
          </cell>
        </row>
        <row r="61">
          <cell r="A61" t="str">
            <v>Tuy Hòa</v>
          </cell>
        </row>
        <row r="62">
          <cell r="A62" t="str">
            <v>Tuyên Quang</v>
          </cell>
        </row>
        <row r="63">
          <cell r="A63" t="str">
            <v>Uông Bí</v>
          </cell>
        </row>
        <row r="64">
          <cell r="A64" t="str">
            <v>Việt Trì</v>
          </cell>
        </row>
        <row r="65">
          <cell r="A65" t="str">
            <v>Vinh</v>
          </cell>
        </row>
        <row r="66">
          <cell r="A66" t="str">
            <v>Vĩnh Yên</v>
          </cell>
        </row>
        <row r="67">
          <cell r="A67" t="str">
            <v>Vũng Tàu</v>
          </cell>
        </row>
        <row r="68">
          <cell r="A68" t="str">
            <v>Yên Bái</v>
          </cell>
        </row>
      </sheetData>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ttals"/>
      <sheetName val="Home"/>
      <sheetName val="Acknowledgments"/>
      <sheetName val="Introduction"/>
      <sheetName val="Instructions"/>
      <sheetName val="Recommendations"/>
      <sheetName val="LOTUS SI Eligibility"/>
      <sheetName val="Project information"/>
      <sheetName val="Application Form"/>
      <sheetName val="Pre-assessment checklist"/>
      <sheetName val="Prov. Certification checklist"/>
      <sheetName val="Certification checklist "/>
      <sheetName val="LOTUS SI Scorecard"/>
      <sheetName val="Graphical Results"/>
      <sheetName val="Energy"/>
      <sheetName val="E-1 Space cooling"/>
      <sheetName val="E-2 Artificial Lighting"/>
      <sheetName val="E-3 Energy Efficient Appliances"/>
      <sheetName val="E-4 Energy Monitor"/>
      <sheetName val="Energy BPC"/>
      <sheetName val="Water"/>
      <sheetName val="W-1 Water Efficient Fixtures"/>
      <sheetName val="W-2 Drinking Water "/>
      <sheetName val="Materials"/>
      <sheetName val="Materials Glossary"/>
      <sheetName val="M-1 Sustainable Materials"/>
      <sheetName val="M-2 Sustainable Furniture"/>
      <sheetName val="Waste &amp; Pollution"/>
      <sheetName val="WP-1 Refrigerants"/>
      <sheetName val="WP-2 Fit-out Waste"/>
      <sheetName val="WP-3 Operation Waste Management"/>
      <sheetName val="Health &amp; Comfort"/>
      <sheetName val="H-1 Fresh Air Supply"/>
      <sheetName val="H-2 Low-VOC Emissions "/>
      <sheetName val="H-3 Interior Plants"/>
      <sheetName val="H-4 Green Cleaning"/>
      <sheetName val="H-5 Daylighting"/>
      <sheetName val="H-6 External Views"/>
      <sheetName val="H-7 Thermal Comfort"/>
      <sheetName val="H&amp;C BPC"/>
      <sheetName val="Location &amp; Transportation"/>
      <sheetName val="LT-1 Base building "/>
      <sheetName val="LT-2 Tenancy lease"/>
      <sheetName val="LT-3 Green Transportation "/>
      <sheetName val="LT-BPC"/>
      <sheetName val="Management"/>
      <sheetName val="Man-1 Construction Stage"/>
      <sheetName val="Man-2 Commissioning"/>
      <sheetName val="Man-3 Maintenance"/>
      <sheetName val="Man-4 Green Awareness "/>
      <sheetName val="Man BPC"/>
      <sheetName val="Innovation"/>
      <sheetName val="Inn-1 Exceptional Performance "/>
      <sheetName val="Inn-2 Innovative Techniques"/>
      <sheetName val="Additional information"/>
      <sheetName val="Glossary"/>
      <sheetName val="Re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67">
          <cell r="O167" t="str">
            <v>Select</v>
          </cell>
        </row>
        <row r="168">
          <cell r="O168" t="str">
            <v xml:space="preserve">Unitary air-conditioner </v>
          </cell>
        </row>
        <row r="169">
          <cell r="O169" t="str">
            <v xml:space="preserve">Split air-conditioner </v>
          </cell>
        </row>
        <row r="170">
          <cell r="O170" t="str">
            <v>Air-cooled air-conditioner</v>
          </cell>
        </row>
        <row r="171">
          <cell r="O171" t="str">
            <v>Air conditioner water and evaporatively cooled</v>
          </cell>
        </row>
        <row r="172">
          <cell r="O172" t="str">
            <v>Air cooled chiller</v>
          </cell>
        </row>
        <row r="173">
          <cell r="O173" t="str">
            <v>Water cooled chiller (reciprocating)</v>
          </cell>
        </row>
        <row r="174">
          <cell r="O174" t="str">
            <v>Water cooled chiller (screw and scroll)</v>
          </cell>
        </row>
        <row r="175">
          <cell r="O175" t="str">
            <v>Water cooled chiller (centrifugal)</v>
          </cell>
        </row>
      </sheetData>
      <sheetData sheetId="16">
        <row r="82">
          <cell r="M82" t="str">
            <v>Select</v>
          </cell>
        </row>
        <row r="83">
          <cell r="M83" t="str">
            <v>Office</v>
          </cell>
        </row>
        <row r="84">
          <cell r="M84" t="str">
            <v>Hotel</v>
          </cell>
        </row>
        <row r="85">
          <cell r="M85" t="str">
            <v>Hospital</v>
          </cell>
        </row>
        <row r="86">
          <cell r="M86" t="str">
            <v>School</v>
          </cell>
        </row>
        <row r="87">
          <cell r="M87" t="str">
            <v>Retail</v>
          </cell>
        </row>
        <row r="88">
          <cell r="M88" t="str">
            <v>Residential</v>
          </cell>
        </row>
        <row r="89">
          <cell r="M89" t="str">
            <v>Enclosed, in-house, basement car parks</v>
          </cell>
        </row>
        <row r="90">
          <cell r="M90" t="str">
            <v xml:space="preserve">Outdoor or open (roofed only) car parks </v>
          </cell>
        </row>
        <row r="91">
          <cell r="M91" t="str">
            <v>Other types</v>
          </cell>
        </row>
      </sheetData>
      <sheetData sheetId="17" refreshError="1"/>
      <sheetData sheetId="18" refreshError="1"/>
      <sheetData sheetId="19" refreshError="1"/>
      <sheetData sheetId="20" refreshError="1"/>
      <sheetData sheetId="21">
        <row r="207">
          <cell r="M207" t="str">
            <v>Select</v>
          </cell>
        </row>
        <row r="208">
          <cell r="M208" t="str">
            <v>Residential dishwashers (standard and compact)</v>
          </cell>
        </row>
        <row r="209">
          <cell r="M209" t="str">
            <v>Residential Clothes washer</v>
          </cell>
        </row>
        <row r="210">
          <cell r="M210" t="str">
            <v>Commercial Clothes washer</v>
          </cell>
        </row>
        <row r="211">
          <cell r="M211" t="str">
            <v>Commercial Prerinse Spray Valves</v>
          </cell>
        </row>
        <row r="212">
          <cell r="M212" t="str">
            <v>Ice machine</v>
          </cell>
        </row>
        <row r="213">
          <cell r="M213" t="str">
            <v>Dishwasher (undercounter)</v>
          </cell>
        </row>
        <row r="214">
          <cell r="M214" t="str">
            <v>Dishwasher (Stationary, single tank, door)</v>
          </cell>
        </row>
        <row r="215">
          <cell r="M215" t="str">
            <v>Dishwasher (Single tank, conveyor)</v>
          </cell>
        </row>
        <row r="216">
          <cell r="M216" t="str">
            <v>Dishwasher (Multiple tank, conveyor)</v>
          </cell>
        </row>
        <row r="217">
          <cell r="M217" t="str">
            <v>Dishwasher (Flight machine)</v>
          </cell>
        </row>
        <row r="218">
          <cell r="M218" t="str">
            <v>Food steamer (batch)</v>
          </cell>
        </row>
        <row r="219">
          <cell r="M219" t="str">
            <v>Food steamer (Cook-to-order)</v>
          </cell>
        </row>
        <row r="220">
          <cell r="M220" t="str">
            <v>Combination oven (Countertop or stand)</v>
          </cell>
        </row>
        <row r="221">
          <cell r="M221" t="str">
            <v>Combination oven (Roll-in)</v>
          </cell>
        </row>
      </sheetData>
      <sheetData sheetId="22" refreshError="1"/>
      <sheetData sheetId="23" refreshError="1"/>
      <sheetData sheetId="24" refreshError="1"/>
      <sheetData sheetId="25">
        <row r="35">
          <cell r="M35" t="str">
            <v>Select</v>
          </cell>
        </row>
        <row r="36">
          <cell r="M36" t="str">
            <v>Reused</v>
          </cell>
        </row>
        <row r="37">
          <cell r="M37" t="str">
            <v>Reused components</v>
          </cell>
        </row>
        <row r="38">
          <cell r="M38" t="str">
            <v>Recycled Content</v>
          </cell>
        </row>
        <row r="39">
          <cell r="M39" t="str">
            <v>Rapidly renewable content</v>
          </cell>
        </row>
        <row r="40">
          <cell r="M40" t="str">
            <v>Timber from a sustainable source</v>
          </cell>
        </row>
        <row r="41">
          <cell r="M41" t="str">
            <v>Non-baked material</v>
          </cell>
        </row>
        <row r="42">
          <cell r="M42" t="str">
            <v>Manufacturer ISO 14001 certification</v>
          </cell>
        </row>
        <row r="43">
          <cell r="M43" t="str">
            <v>Materials certified based on LCA 
(Platinum or Gold equivalent)</v>
          </cell>
        </row>
        <row r="44">
          <cell r="M44" t="str">
            <v>Materials certified based on LCA 
(Silver equivalent)</v>
          </cell>
        </row>
        <row r="45">
          <cell r="M45" t="str">
            <v>Materials certified based on LCA 
(Bronze equivalent)</v>
          </cell>
        </row>
        <row r="46">
          <cell r="M46" t="str">
            <v>Materials certified based on LCA 
(Basic equivalent)</v>
          </cell>
        </row>
        <row r="47">
          <cell r="M47" t="str">
            <v>Other certified material</v>
          </cell>
        </row>
        <row r="48">
          <cell r="M48" t="str">
            <v>Material with EPD</v>
          </cell>
        </row>
        <row r="49">
          <cell r="M49" t="str">
            <v>Designed for disassembly</v>
          </cell>
        </row>
        <row r="50">
          <cell r="M50" t="str">
            <v>Locally extracted/harvested/manufactured</v>
          </cell>
        </row>
        <row r="51">
          <cell r="M51" t="str">
            <v>Locally manufactured</v>
          </cell>
        </row>
        <row r="52">
          <cell r="M52" t="str">
            <v>None</v>
          </cell>
        </row>
      </sheetData>
      <sheetData sheetId="26">
        <row r="44">
          <cell r="N44" t="str">
            <v>Select</v>
          </cell>
        </row>
        <row r="45">
          <cell r="N45" t="str">
            <v>Reused Product</v>
          </cell>
        </row>
        <row r="46">
          <cell r="N46" t="str">
            <v>Reused components</v>
          </cell>
        </row>
        <row r="47">
          <cell r="N47" t="str">
            <v>Recycled Content</v>
          </cell>
        </row>
        <row r="48">
          <cell r="N48" t="str">
            <v>Rapidly renewable content</v>
          </cell>
        </row>
        <row r="49">
          <cell r="N49" t="str">
            <v>Timber from a sustainable source</v>
          </cell>
        </row>
        <row r="50">
          <cell r="N50" t="str">
            <v>Manufacturer ISO 14001 certification</v>
          </cell>
        </row>
        <row r="51">
          <cell r="N51" t="str">
            <v>Product with EPD</v>
          </cell>
        </row>
        <row r="52">
          <cell r="N52" t="str">
            <v>Product certified based on LCA 
(Platinum or Gold equivalent)</v>
          </cell>
        </row>
        <row r="53">
          <cell r="N53" t="str">
            <v>Product certified based on LCA 
(Silver equivalent)</v>
          </cell>
        </row>
        <row r="54">
          <cell r="N54" t="str">
            <v>Product certified based on LCA 
(Bronze equivalent)</v>
          </cell>
        </row>
        <row r="55">
          <cell r="N55" t="str">
            <v>Product certified based on LCA 
(Basic equivalent)</v>
          </cell>
        </row>
        <row r="56">
          <cell r="N56" t="str">
            <v>Other certified product</v>
          </cell>
        </row>
        <row r="57">
          <cell r="N57" t="str">
            <v>Locally extracted/harvested/manufactured</v>
          </cell>
        </row>
        <row r="58">
          <cell r="N58" t="str">
            <v>Locally manufactured</v>
          </cell>
        </row>
        <row r="59">
          <cell r="N59" t="str">
            <v>None</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247">
          <cell r="P247" t="str">
            <v>Select</v>
          </cell>
        </row>
        <row r="248">
          <cell r="P248" t="str">
            <v>Apartment and condominium</v>
          </cell>
        </row>
        <row r="249">
          <cell r="P249" t="str">
            <v>Hotel/motel</v>
          </cell>
        </row>
        <row r="250">
          <cell r="P250" t="str">
            <v>Office building</v>
          </cell>
        </row>
        <row r="251">
          <cell r="P251" t="str">
            <v>Hospital &amp; Clinic</v>
          </cell>
        </row>
        <row r="252">
          <cell r="P252" t="str">
            <v>Courtroom</v>
          </cell>
        </row>
        <row r="253">
          <cell r="P253" t="str">
            <v>Performing arts space</v>
          </cell>
        </row>
        <row r="254">
          <cell r="P254" t="str">
            <v>Laboratories</v>
          </cell>
        </row>
        <row r="255">
          <cell r="P255" t="str">
            <v>Library</v>
          </cell>
        </row>
        <row r="256">
          <cell r="P256" t="str">
            <v>Indoor stadium, gymnasium</v>
          </cell>
        </row>
        <row r="257">
          <cell r="P257" t="str">
            <v>School</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ttals"/>
      <sheetName val="Home"/>
      <sheetName val="Acknowledgments"/>
      <sheetName val="Introduction"/>
      <sheetName val="Instructions"/>
      <sheetName val="Recommendations"/>
      <sheetName val="LOTUS Interiors Eligibility"/>
      <sheetName val="Project information"/>
      <sheetName val="Application Form"/>
      <sheetName val="Pre-assessment checklist"/>
      <sheetName val="Prov. Certification checklist"/>
      <sheetName val="Full Certification checklist "/>
      <sheetName val="LOTUS Interiors Scorecard"/>
      <sheetName val="Graphical Results"/>
      <sheetName val="Energy"/>
      <sheetName val="E-1 Space cooling"/>
      <sheetName val="E-2 Artificial Lighting"/>
      <sheetName val="E-3 Energy Efficient Appliances"/>
      <sheetName val="E-4 Energy Monitoring"/>
      <sheetName val="Water"/>
      <sheetName val="W-PR-1 &amp; W-1 Efficient Fixtures"/>
      <sheetName val="W-2 Drinking Water "/>
      <sheetName val="Materials"/>
      <sheetName val="M-1 Sustainable Materials"/>
      <sheetName val="M-2 Sustainable Furniture"/>
      <sheetName val="Waste &amp; Pollution"/>
      <sheetName val="WP-1 Refrigerants"/>
      <sheetName val="WP-PR-1 WP-2 Construction Waste"/>
      <sheetName val="WP-3 Waste Management"/>
      <sheetName val="Health &amp; Comfort"/>
      <sheetName val="H-PR-1 Indoor Smoking"/>
      <sheetName val="H-1 Fresh Air Supply"/>
      <sheetName val="H-2 CO2 Monitoring"/>
      <sheetName val="H-3 Low-VOC Emissions "/>
      <sheetName val="H-4 Removal of pollutants"/>
      <sheetName val="H-5 Interior Plants"/>
      <sheetName val="H-6 Green Cleaning"/>
      <sheetName val="H-7 Daylighting"/>
      <sheetName val="H-8 External Views"/>
      <sheetName val="H-9 Lighting Comfort"/>
      <sheetName val="H-10 Thermal Comfort"/>
      <sheetName val="H-11 Acoustic Comfort"/>
      <sheetName val="H-12 Post-occupancy Comfort"/>
      <sheetName val="Location &amp; Transportation"/>
      <sheetName val="LT-1 Base building "/>
      <sheetName val="LT-2 Tenancy lease"/>
      <sheetName val="LT-3 Green Transportation "/>
      <sheetName val="LT-4 Facilities and amenities "/>
      <sheetName val="Management"/>
      <sheetName val="Man-1 LOTUS AP"/>
      <sheetName val="Man-2 Construction Stage"/>
      <sheetName val="Man-3 Commissioning"/>
      <sheetName val="Man-4 Maintenance"/>
      <sheetName val="Man-5 Green Awareness "/>
      <sheetName val="Innovation"/>
      <sheetName val="Inn-1 Exceptional Performance "/>
      <sheetName val="Inn-2 Innovative Techniques"/>
      <sheetName val="Additional information"/>
      <sheetName val="Glossary"/>
      <sheetName val="Resources"/>
      <sheetName val="Feedba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80">
          <cell r="O80" t="str">
            <v>Select</v>
          </cell>
        </row>
        <row r="81">
          <cell r="O81" t="str">
            <v xml:space="preserve">Unitary air-conditioner </v>
          </cell>
        </row>
        <row r="82">
          <cell r="O82" t="str">
            <v xml:space="preserve">Split air-conditioner </v>
          </cell>
        </row>
        <row r="83">
          <cell r="O83" t="str">
            <v>Air-cooled air-conditioner</v>
          </cell>
        </row>
        <row r="84">
          <cell r="O84" t="str">
            <v>Air conditioner water and evaporatively cooled</v>
          </cell>
        </row>
        <row r="85">
          <cell r="O85" t="str">
            <v>Air cooled chiller</v>
          </cell>
        </row>
        <row r="86">
          <cell r="O86" t="str">
            <v>Water cooled chiller (reciprocating)</v>
          </cell>
        </row>
        <row r="87">
          <cell r="O87" t="str">
            <v>Water cooled chiller (screw and scroll)</v>
          </cell>
        </row>
        <row r="88">
          <cell r="O88" t="str">
            <v>Water cooled chiller (centrifugal)</v>
          </cell>
        </row>
      </sheetData>
      <sheetData sheetId="16">
        <row r="28">
          <cell r="L28" t="str">
            <v>Select</v>
          </cell>
        </row>
        <row r="29">
          <cell r="L29" t="str">
            <v>Office</v>
          </cell>
        </row>
        <row r="30">
          <cell r="L30" t="str">
            <v>Hotel</v>
          </cell>
        </row>
        <row r="31">
          <cell r="L31" t="str">
            <v>Hospital</v>
          </cell>
        </row>
        <row r="32">
          <cell r="L32" t="str">
            <v>School</v>
          </cell>
        </row>
        <row r="33">
          <cell r="L33" t="str">
            <v>Retail</v>
          </cell>
        </row>
        <row r="34">
          <cell r="L34" t="str">
            <v>Residential</v>
          </cell>
        </row>
        <row r="35">
          <cell r="L35" t="str">
            <v>Enclosed, in-house, basement car parks</v>
          </cell>
        </row>
        <row r="36">
          <cell r="L36" t="str">
            <v xml:space="preserve">Outdoor or open (roofed only) car parks </v>
          </cell>
        </row>
        <row r="37">
          <cell r="L37" t="str">
            <v>Other types</v>
          </cell>
        </row>
      </sheetData>
      <sheetData sheetId="17" refreshError="1"/>
      <sheetData sheetId="18" refreshError="1"/>
      <sheetData sheetId="19" refreshError="1"/>
      <sheetData sheetId="20">
        <row r="200">
          <cell r="M200" t="str">
            <v>Select</v>
          </cell>
        </row>
        <row r="201">
          <cell r="M201" t="str">
            <v>Residential dishwashers (standard and compact)</v>
          </cell>
        </row>
        <row r="202">
          <cell r="M202" t="str">
            <v>Residential Clothes washer</v>
          </cell>
        </row>
        <row r="203">
          <cell r="M203" t="str">
            <v>Commercial Clothes washer</v>
          </cell>
        </row>
        <row r="204">
          <cell r="M204" t="str">
            <v>Commercial Prerinse Spray Valves</v>
          </cell>
        </row>
        <row r="205">
          <cell r="M205" t="str">
            <v>Ice machine</v>
          </cell>
        </row>
        <row r="206">
          <cell r="M206" t="str">
            <v>Dishwasher (undercounter)</v>
          </cell>
        </row>
        <row r="207">
          <cell r="M207" t="str">
            <v>Dishwasher (Stationary, single tank, door)</v>
          </cell>
        </row>
        <row r="208">
          <cell r="M208" t="str">
            <v>Dishwasher (Single tank, conveyor)</v>
          </cell>
        </row>
        <row r="209">
          <cell r="M209" t="str">
            <v>Dishwasher (Multiple tank, conveyor)</v>
          </cell>
        </row>
        <row r="210">
          <cell r="M210" t="str">
            <v>Dishwasher (Flight machine)</v>
          </cell>
        </row>
        <row r="211">
          <cell r="M211" t="str">
            <v>Food steamer (batch)</v>
          </cell>
        </row>
        <row r="212">
          <cell r="M212" t="str">
            <v>Food steamer (Cook-to-order)</v>
          </cell>
        </row>
        <row r="213">
          <cell r="M213" t="str">
            <v>Combination oven (Countertop or stand)</v>
          </cell>
        </row>
        <row r="214">
          <cell r="M214" t="str">
            <v>Combination oven (Roll-in)</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8">
          <cell r="O68" t="str">
            <v>Select</v>
          </cell>
        </row>
        <row r="69">
          <cell r="O69" t="str">
            <v>Apartment and condominium</v>
          </cell>
        </row>
        <row r="70">
          <cell r="O70" t="str">
            <v>Hotel/motel</v>
          </cell>
        </row>
        <row r="71">
          <cell r="O71" t="str">
            <v>Office building</v>
          </cell>
        </row>
        <row r="72">
          <cell r="O72" t="str">
            <v>Hospital &amp; Clinic</v>
          </cell>
        </row>
        <row r="73">
          <cell r="O73" t="str">
            <v>Courtroom</v>
          </cell>
        </row>
        <row r="74">
          <cell r="O74" t="str">
            <v>Performing arts space</v>
          </cell>
        </row>
        <row r="75">
          <cell r="O75" t="str">
            <v>Laboratories</v>
          </cell>
        </row>
        <row r="76">
          <cell r="O76" t="str">
            <v>Library</v>
          </cell>
        </row>
        <row r="77">
          <cell r="O77" t="str">
            <v>Indoor stadium, gymnasium</v>
          </cell>
        </row>
        <row r="78">
          <cell r="O78" t="str">
            <v>School</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ttals"/>
      <sheetName val="Home"/>
      <sheetName val="Introduction"/>
      <sheetName val="Instructions"/>
      <sheetName val="Recommendations"/>
      <sheetName val="LOTUS Interiors Eligibility"/>
      <sheetName val="Project information"/>
      <sheetName val="LOTUS Interiors Scorecard"/>
      <sheetName val="Graphical Results"/>
      <sheetName val="Pre-assessment checklist"/>
      <sheetName val="Prov. Certification checklist"/>
      <sheetName val="Final Certification checklist "/>
      <sheetName val="Energy"/>
      <sheetName val="E-1 Space cooling"/>
      <sheetName val="E-2 Artificial Lighting"/>
      <sheetName val="E-3 Energy Efficient Appliances"/>
      <sheetName val="E-4 Energy Monitoring"/>
      <sheetName val="Water"/>
      <sheetName val="W-1 Water Efficient Fixtures"/>
      <sheetName val="W-2 Drinking Water "/>
      <sheetName val="Materials"/>
      <sheetName val="M-1 Sustainable Materials"/>
      <sheetName val="M-2 Sustainable Furniture"/>
      <sheetName val="Waste &amp; Pollution"/>
      <sheetName val="WP-1 Refrigerants"/>
      <sheetName val="WP-2 Construction Waste"/>
      <sheetName val="WP-3 Waste Management"/>
      <sheetName val="Health &amp; Comfort"/>
      <sheetName val="H-PR-1 Indoor Smoking"/>
      <sheetName val="H-1 Fresh Air Supply"/>
      <sheetName val="H-2 CO2 Monitoring"/>
      <sheetName val="H-3 Hazardous Materials"/>
      <sheetName val="H-4 Removal of pollutants"/>
      <sheetName val="H-5 Interior Plants"/>
      <sheetName val="H-6 Green Cleaning"/>
      <sheetName val="H-7 Daylighting"/>
      <sheetName val="H-8 External Views"/>
      <sheetName val="H-9 Lighting Comfort"/>
      <sheetName val="H-10 Thermal Comfort"/>
      <sheetName val="H-11 Acoustic Comfort"/>
      <sheetName val="H-12 Post-occupancy Comfort"/>
      <sheetName val="Location &amp; Transportation"/>
      <sheetName val="LT-1 Base building "/>
      <sheetName val="LT-2 Tenancy lease"/>
      <sheetName val="LT-3 Green Transportation "/>
      <sheetName val="LT-4 Facilities and amenities "/>
      <sheetName val="Management"/>
      <sheetName val="Man-1 LOTUS AP"/>
      <sheetName val="Man-2 Construction Stage"/>
      <sheetName val="Man-3 Commissioning"/>
      <sheetName val="Man-4 Maintenance"/>
      <sheetName val="Man-5 Green Awareness "/>
      <sheetName val="Innovation"/>
      <sheetName val="Inn-1 Exceptional Performance "/>
      <sheetName val="Inn-2 Innovative Techniques"/>
      <sheetName val="Resources"/>
      <sheetName val="Rainfall Data"/>
      <sheetName val="Example"/>
      <sheetName val="Feedba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4">
          <cell r="O54" t="str">
            <v>Select</v>
          </cell>
        </row>
        <row r="55">
          <cell r="O55" t="str">
            <v xml:space="preserve">Unitary air-conditioner </v>
          </cell>
        </row>
        <row r="56">
          <cell r="O56" t="str">
            <v xml:space="preserve">Split air-conditioner </v>
          </cell>
        </row>
        <row r="57">
          <cell r="O57" t="str">
            <v>air-cooled air-conditioner</v>
          </cell>
        </row>
        <row r="58">
          <cell r="O58" t="str">
            <v>Air conditioner water and evaporatively cooled</v>
          </cell>
        </row>
        <row r="59">
          <cell r="O59" t="str">
            <v>Air cooled chiller</v>
          </cell>
        </row>
        <row r="60">
          <cell r="O60" t="str">
            <v>Water cooled chiller (reciprocating)</v>
          </cell>
        </row>
        <row r="61">
          <cell r="O61" t="str">
            <v>Water cooled chiller (screw and scroll)</v>
          </cell>
        </row>
        <row r="62">
          <cell r="O62" t="str">
            <v>Water cooled chiller (centrifugal)</v>
          </cell>
        </row>
      </sheetData>
      <sheetData sheetId="14">
        <row r="28">
          <cell r="L28" t="str">
            <v>Select</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hyperlink" Target="http://out-2.com/" TargetMode="External"/><Relationship Id="rId13" Type="http://schemas.openxmlformats.org/officeDocument/2006/relationships/hyperlink" Target="http://www.rcrtom.com.au/" TargetMode="External"/><Relationship Id="rId18" Type="http://schemas.openxmlformats.org/officeDocument/2006/relationships/hyperlink" Target="http://www.bharchitects.com/en/news" TargetMode="External"/><Relationship Id="rId26" Type="http://schemas.openxmlformats.org/officeDocument/2006/relationships/hyperlink" Target="http://www.sonacons.com.vn/en/" TargetMode="External"/><Relationship Id="rId3" Type="http://schemas.openxmlformats.org/officeDocument/2006/relationships/hyperlink" Target="http://bambooali.com/" TargetMode="External"/><Relationship Id="rId21" Type="http://schemas.openxmlformats.org/officeDocument/2006/relationships/hyperlink" Target="http://www.cbrevietnam.com/?lang=vi" TargetMode="External"/><Relationship Id="rId34" Type="http://schemas.openxmlformats.org/officeDocument/2006/relationships/hyperlink" Target="http://www.zamilsteel.com.vn/" TargetMode="External"/><Relationship Id="rId7" Type="http://schemas.openxmlformats.org/officeDocument/2006/relationships/hyperlink" Target="http://www.lapnguyen.com.vn/" TargetMode="External"/><Relationship Id="rId12" Type="http://schemas.openxmlformats.org/officeDocument/2006/relationships/hyperlink" Target="http://www.dragoncapital.com/" TargetMode="External"/><Relationship Id="rId17" Type="http://schemas.openxmlformats.org/officeDocument/2006/relationships/hyperlink" Target="http://www.namajsc.com.vn/" TargetMode="External"/><Relationship Id="rId25" Type="http://schemas.openxmlformats.org/officeDocument/2006/relationships/hyperlink" Target="http://hoangtam.com/" TargetMode="External"/><Relationship Id="rId33" Type="http://schemas.openxmlformats.org/officeDocument/2006/relationships/hyperlink" Target="http://work-wonders.com.vn/" TargetMode="External"/><Relationship Id="rId38" Type="http://schemas.openxmlformats.org/officeDocument/2006/relationships/drawing" Target="../drawings/drawing2.xml"/><Relationship Id="rId2" Type="http://schemas.openxmlformats.org/officeDocument/2006/relationships/hyperlink" Target="http://awspl.com.vn/details/about-us.html" TargetMode="External"/><Relationship Id="rId16" Type="http://schemas.openxmlformats.org/officeDocument/2006/relationships/hyperlink" Target="http://www.e-block.com.vn/eblock" TargetMode="External"/><Relationship Id="rId20" Type="http://schemas.openxmlformats.org/officeDocument/2006/relationships/hyperlink" Target="http://www.cattuongcorp.com/en/" TargetMode="External"/><Relationship Id="rId29" Type="http://schemas.openxmlformats.org/officeDocument/2006/relationships/hyperlink" Target="http://www.tttcompany.com/" TargetMode="External"/><Relationship Id="rId1" Type="http://schemas.openxmlformats.org/officeDocument/2006/relationships/hyperlink" Target="http://out-2.com/" TargetMode="External"/><Relationship Id="rId6" Type="http://schemas.openxmlformats.org/officeDocument/2006/relationships/hyperlink" Target="http://www.groupgsa.com/" TargetMode="External"/><Relationship Id="rId11" Type="http://schemas.openxmlformats.org/officeDocument/2006/relationships/hyperlink" Target="http://dpsd.com.sg/" TargetMode="External"/><Relationship Id="rId24" Type="http://schemas.openxmlformats.org/officeDocument/2006/relationships/hyperlink" Target="http://www.dragoncapital.com/" TargetMode="External"/><Relationship Id="rId32" Type="http://schemas.openxmlformats.org/officeDocument/2006/relationships/hyperlink" Target="http://www.unicons.vn/" TargetMode="External"/><Relationship Id="rId37" Type="http://schemas.openxmlformats.org/officeDocument/2006/relationships/hyperlink" Target="http://www.saigonxanh.com/" TargetMode="External"/><Relationship Id="rId5" Type="http://schemas.openxmlformats.org/officeDocument/2006/relationships/hyperlink" Target="http://www.namajsc.com.vn/" TargetMode="External"/><Relationship Id="rId15" Type="http://schemas.openxmlformats.org/officeDocument/2006/relationships/hyperlink" Target="http://www.palm.vn/" TargetMode="External"/><Relationship Id="rId23" Type="http://schemas.openxmlformats.org/officeDocument/2006/relationships/hyperlink" Target="http://greenconsult-asia.com/references/dbw-factory/" TargetMode="External"/><Relationship Id="rId28" Type="http://schemas.openxmlformats.org/officeDocument/2006/relationships/hyperlink" Target="http://www.archetype-group.com/" TargetMode="External"/><Relationship Id="rId36" Type="http://schemas.openxmlformats.org/officeDocument/2006/relationships/hyperlink" Target="http://quocviet.technology/" TargetMode="External"/><Relationship Id="rId10" Type="http://schemas.openxmlformats.org/officeDocument/2006/relationships/hyperlink" Target="http://hoangtam.com/" TargetMode="External"/><Relationship Id="rId19" Type="http://schemas.openxmlformats.org/officeDocument/2006/relationships/hyperlink" Target="http://www.bryair.com.my/" TargetMode="External"/><Relationship Id="rId31" Type="http://schemas.openxmlformats.org/officeDocument/2006/relationships/hyperlink" Target="http://www.unityarch.com/vi/home/" TargetMode="External"/><Relationship Id="rId4" Type="http://schemas.openxmlformats.org/officeDocument/2006/relationships/hyperlink" Target="http://www.lapnguyen.com.vn/" TargetMode="External"/><Relationship Id="rId9" Type="http://schemas.openxmlformats.org/officeDocument/2006/relationships/hyperlink" Target="http://nnvietnam.com/" TargetMode="External"/><Relationship Id="rId14" Type="http://schemas.openxmlformats.org/officeDocument/2006/relationships/hyperlink" Target="http://phuquibdq.com/" TargetMode="External"/><Relationship Id="rId22" Type="http://schemas.openxmlformats.org/officeDocument/2006/relationships/hyperlink" Target="http://www.cc1mekong.com/" TargetMode="External"/><Relationship Id="rId27" Type="http://schemas.openxmlformats.org/officeDocument/2006/relationships/hyperlink" Target="http://www.tt-as.vn/" TargetMode="External"/><Relationship Id="rId30" Type="http://schemas.openxmlformats.org/officeDocument/2006/relationships/hyperlink" Target="http://www.tuanle.com.vn/en/" TargetMode="External"/><Relationship Id="rId35" Type="http://schemas.openxmlformats.org/officeDocument/2006/relationships/hyperlink" Target="http://cdcjsc.vn/en/home.h.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5.xml"/><Relationship Id="rId1" Type="http://schemas.openxmlformats.org/officeDocument/2006/relationships/printerSettings" Target="../printerSettings/printerSettings25.bin"/><Relationship Id="rId4" Type="http://schemas.openxmlformats.org/officeDocument/2006/relationships/comments" Target="../comments3.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mailto:certification@vgbc.org.vn"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hyperlink" Target="http://energy.lbl.gov/coolroof/" TargetMode="Externa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hyperlink" Target="http://www.ifpri.org/sites/default/files/publications/ifpridp01248.pdf" TargetMode="External"/></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ctrlProp" Target="../ctrlProps/ctrlProp1.x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vmlDrawing" Target="../drawings/vmlDrawing4.vml"/><Relationship Id="rId1" Type="http://schemas.openxmlformats.org/officeDocument/2006/relationships/drawing" Target="../drawings/drawing64.xml"/><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O45"/>
  <sheetViews>
    <sheetView showRowColHeaders="0" tabSelected="1" workbookViewId="0">
      <selection activeCell="H10" sqref="H10"/>
    </sheetView>
  </sheetViews>
  <sheetFormatPr defaultColWidth="0" defaultRowHeight="15" customHeight="1" zeroHeight="1" x14ac:dyDescent="0.25"/>
  <cols>
    <col min="1" max="4" width="9.7109375" customWidth="1"/>
    <col min="5" max="13" width="9.140625" customWidth="1"/>
    <col min="14" max="14" width="8.140625" customWidth="1"/>
    <col min="15" max="15" width="0" hidden="1" customWidth="1"/>
    <col min="16" max="16384" width="9.140625" hidden="1"/>
  </cols>
  <sheetData>
    <row r="1" spans="1:14" x14ac:dyDescent="0.25">
      <c r="A1" s="37"/>
      <c r="B1" s="37"/>
      <c r="C1" s="37"/>
      <c r="D1" s="37"/>
      <c r="E1" s="37"/>
      <c r="F1" s="37"/>
      <c r="G1" s="37"/>
      <c r="H1" s="37"/>
      <c r="I1" s="37"/>
      <c r="J1" s="37"/>
      <c r="K1" s="37"/>
      <c r="L1" s="37"/>
      <c r="M1" s="37"/>
      <c r="N1" s="37"/>
    </row>
    <row r="2" spans="1:14" x14ac:dyDescent="0.25">
      <c r="A2" s="37"/>
      <c r="B2" s="37"/>
      <c r="C2" s="37"/>
      <c r="D2" s="37"/>
      <c r="E2" s="37"/>
      <c r="F2" s="37"/>
      <c r="G2" s="37"/>
      <c r="H2" s="37"/>
      <c r="I2" s="37"/>
      <c r="J2" s="37"/>
      <c r="K2" s="37"/>
      <c r="L2" s="37"/>
      <c r="M2" s="37"/>
      <c r="N2" s="37"/>
    </row>
    <row r="3" spans="1:14" x14ac:dyDescent="0.25">
      <c r="A3" s="37"/>
      <c r="B3" s="37"/>
      <c r="C3" s="37"/>
      <c r="D3" s="37"/>
      <c r="E3" s="37"/>
      <c r="F3" s="37"/>
      <c r="G3" s="37"/>
      <c r="H3" s="37"/>
      <c r="I3" s="37"/>
      <c r="J3" s="37"/>
      <c r="K3" s="37"/>
      <c r="L3" s="37"/>
      <c r="M3" s="37"/>
      <c r="N3" s="37"/>
    </row>
    <row r="4" spans="1:14" x14ac:dyDescent="0.25">
      <c r="A4" s="37"/>
      <c r="B4" s="37"/>
      <c r="C4" s="37"/>
      <c r="D4" s="37"/>
      <c r="E4" s="37"/>
      <c r="F4" s="37"/>
      <c r="G4" s="37"/>
      <c r="H4" s="37"/>
      <c r="I4" s="37"/>
      <c r="J4" s="37"/>
      <c r="K4" s="37"/>
      <c r="L4" s="37"/>
      <c r="M4" s="37"/>
      <c r="N4" s="37"/>
    </row>
    <row r="5" spans="1:14" x14ac:dyDescent="0.25">
      <c r="A5" s="37"/>
      <c r="B5" s="37"/>
      <c r="C5" s="37"/>
      <c r="D5" s="37"/>
      <c r="E5" s="37"/>
      <c r="F5" s="37"/>
      <c r="G5" s="37"/>
      <c r="H5" s="37"/>
      <c r="I5" s="37"/>
      <c r="J5" s="37"/>
      <c r="K5" s="37"/>
      <c r="L5" s="37"/>
      <c r="M5" s="37"/>
      <c r="N5" s="37"/>
    </row>
    <row r="6" spans="1:14" ht="7.5" customHeight="1" x14ac:dyDescent="0.25">
      <c r="A6" s="37"/>
      <c r="B6" s="37"/>
      <c r="C6" s="37"/>
      <c r="D6" s="37"/>
      <c r="E6" s="37"/>
      <c r="F6" s="37"/>
      <c r="G6" s="37"/>
      <c r="H6" s="37"/>
      <c r="I6" s="37"/>
      <c r="J6" s="37"/>
      <c r="K6" s="37"/>
      <c r="L6" s="37"/>
      <c r="M6" s="37"/>
      <c r="N6" s="37"/>
    </row>
    <row r="7" spans="1:14" ht="7.5" customHeight="1" x14ac:dyDescent="0.25">
      <c r="A7" s="37"/>
      <c r="B7" s="37"/>
      <c r="C7" s="37"/>
      <c r="D7" s="37"/>
      <c r="E7" s="37"/>
      <c r="F7" s="37"/>
      <c r="G7" s="37"/>
      <c r="H7" s="37"/>
      <c r="I7" s="37"/>
      <c r="J7" s="37"/>
      <c r="K7" s="37"/>
      <c r="L7" s="37"/>
      <c r="M7" s="37"/>
      <c r="N7" s="37"/>
    </row>
    <row r="8" spans="1:14" ht="15.75" customHeight="1" x14ac:dyDescent="0.25">
      <c r="A8" s="1238"/>
      <c r="B8" s="1239"/>
      <c r="C8" s="1239"/>
      <c r="D8" s="1239"/>
      <c r="E8" s="1239"/>
      <c r="F8" s="1239"/>
      <c r="G8" s="1239"/>
      <c r="H8" s="1239"/>
      <c r="I8" s="1239"/>
      <c r="J8" s="1239"/>
      <c r="K8" s="1239"/>
      <c r="L8" s="1239"/>
      <c r="M8" s="1239"/>
      <c r="N8" s="1239"/>
    </row>
    <row r="9" spans="1:14" ht="15.75" customHeight="1" x14ac:dyDescent="0.25">
      <c r="A9" s="1239"/>
      <c r="B9" s="1239"/>
      <c r="C9" s="1239"/>
      <c r="D9" s="1239"/>
      <c r="E9" s="1239"/>
      <c r="F9" s="1239"/>
      <c r="G9" s="1239"/>
      <c r="H9" s="1239"/>
      <c r="I9" s="1239"/>
      <c r="J9" s="1239"/>
      <c r="K9" s="1239"/>
      <c r="L9" s="1239"/>
      <c r="M9" s="1239"/>
      <c r="N9" s="1239"/>
    </row>
    <row r="10" spans="1:14" ht="15.75" customHeight="1" x14ac:dyDescent="0.25">
      <c r="A10" s="1239"/>
      <c r="B10" s="1239"/>
      <c r="C10" s="1239"/>
      <c r="D10" s="1239"/>
      <c r="E10" s="1239"/>
      <c r="F10" s="1239"/>
      <c r="G10" s="1239"/>
      <c r="H10" s="1239"/>
      <c r="I10" s="1239"/>
      <c r="J10" s="1239"/>
      <c r="K10" s="1239"/>
      <c r="L10" s="1239"/>
      <c r="M10" s="1239"/>
      <c r="N10" s="1239"/>
    </row>
    <row r="11" spans="1:14" ht="15.75" customHeight="1" x14ac:dyDescent="0.25">
      <c r="A11" s="1239"/>
      <c r="B11" s="1239"/>
      <c r="C11" s="1239"/>
      <c r="D11" s="1239"/>
      <c r="E11" s="1239"/>
      <c r="F11" s="1239"/>
      <c r="G11" s="1239"/>
      <c r="H11" s="1239"/>
      <c r="I11" s="1239"/>
      <c r="J11" s="1239"/>
      <c r="K11" s="1239"/>
      <c r="L11" s="1239"/>
      <c r="M11" s="1239"/>
      <c r="N11" s="1239"/>
    </row>
    <row r="12" spans="1:14" ht="15.75" customHeight="1" x14ac:dyDescent="0.25">
      <c r="A12" s="1239"/>
      <c r="B12" s="1239"/>
      <c r="C12" s="1239"/>
      <c r="D12" s="1239"/>
      <c r="E12" s="1239"/>
      <c r="F12" s="1239"/>
      <c r="G12" s="1239"/>
      <c r="H12" s="1239"/>
      <c r="I12" s="1239"/>
      <c r="J12" s="1239"/>
      <c r="K12" s="1239"/>
      <c r="L12" s="1239"/>
      <c r="M12" s="1239"/>
      <c r="N12" s="1239"/>
    </row>
    <row r="13" spans="1:14" ht="15.75" customHeight="1" x14ac:dyDescent="0.25">
      <c r="A13" s="1239"/>
      <c r="B13" s="1239"/>
      <c r="C13" s="1239"/>
      <c r="D13" s="1239"/>
      <c r="E13" s="1239"/>
      <c r="F13" s="1239"/>
      <c r="G13" s="1239"/>
      <c r="H13" s="1239"/>
      <c r="I13" s="1239"/>
      <c r="J13" s="1239"/>
      <c r="K13" s="1239"/>
      <c r="L13" s="1239"/>
      <c r="M13" s="1239"/>
      <c r="N13" s="1239"/>
    </row>
    <row r="14" spans="1:14" s="558" customFormat="1" ht="9" customHeight="1" x14ac:dyDescent="0.55000000000000004"/>
    <row r="15" spans="1:14" s="1344" customFormat="1" ht="36.75" customHeight="1" x14ac:dyDescent="0.25">
      <c r="A15" s="1344" t="s">
        <v>1106</v>
      </c>
    </row>
    <row r="16" spans="1:14" x14ac:dyDescent="0.25">
      <c r="A16" s="37"/>
      <c r="B16" s="37"/>
      <c r="C16" s="37"/>
      <c r="D16" s="37"/>
      <c r="E16" s="37"/>
      <c r="F16" s="37"/>
      <c r="G16" s="37"/>
      <c r="H16" s="37"/>
      <c r="I16" s="37"/>
      <c r="J16" s="37"/>
      <c r="K16" s="37"/>
      <c r="L16" s="37"/>
      <c r="M16" s="37"/>
      <c r="N16" s="37"/>
    </row>
    <row r="17" spans="1:14" x14ac:dyDescent="0.25">
      <c r="A17" s="37"/>
      <c r="B17" s="37"/>
      <c r="C17" s="37"/>
      <c r="D17" s="37"/>
      <c r="E17" s="37"/>
      <c r="F17" s="37"/>
      <c r="G17" s="37"/>
      <c r="H17" s="37"/>
      <c r="I17" s="37"/>
      <c r="J17" s="37"/>
      <c r="K17" s="37"/>
      <c r="L17" s="37"/>
      <c r="M17" s="37"/>
      <c r="N17" s="37"/>
    </row>
    <row r="18" spans="1:14" x14ac:dyDescent="0.25">
      <c r="A18" s="37"/>
      <c r="B18" s="37"/>
      <c r="C18" s="37"/>
      <c r="D18" s="37"/>
      <c r="E18" s="37"/>
      <c r="F18" s="37"/>
      <c r="G18" s="37"/>
      <c r="H18" s="37"/>
      <c r="I18" s="37"/>
      <c r="J18" s="37"/>
      <c r="K18" s="37"/>
      <c r="L18" s="37"/>
      <c r="M18" s="37"/>
      <c r="N18" s="37"/>
    </row>
    <row r="19" spans="1:14" x14ac:dyDescent="0.25">
      <c r="A19" s="37"/>
      <c r="B19" s="37"/>
      <c r="C19" s="37"/>
      <c r="D19" s="37"/>
      <c r="E19" s="37"/>
      <c r="F19" s="37"/>
      <c r="G19" s="37"/>
      <c r="H19" s="37"/>
      <c r="I19" s="37"/>
      <c r="J19" s="37"/>
      <c r="K19" s="37"/>
      <c r="L19" s="37"/>
      <c r="M19" s="37"/>
      <c r="N19" s="37"/>
    </row>
    <row r="20" spans="1:14" x14ac:dyDescent="0.25">
      <c r="A20" s="37"/>
      <c r="B20" s="37"/>
      <c r="C20" s="37"/>
      <c r="D20" s="37"/>
      <c r="E20" s="37"/>
      <c r="F20" s="37"/>
      <c r="G20" s="37"/>
      <c r="H20" s="37"/>
      <c r="I20" s="37"/>
      <c r="J20" s="37"/>
      <c r="K20" s="37"/>
      <c r="L20" s="37"/>
      <c r="M20" s="37"/>
      <c r="N20" s="37"/>
    </row>
    <row r="21" spans="1:14" x14ac:dyDescent="0.25">
      <c r="A21" s="37"/>
      <c r="B21" s="37"/>
      <c r="C21" s="37"/>
      <c r="D21" s="37"/>
      <c r="E21" s="37"/>
      <c r="F21" s="37"/>
      <c r="G21" s="37"/>
      <c r="H21" s="37"/>
      <c r="I21" s="37"/>
      <c r="J21" s="37"/>
      <c r="K21" s="37"/>
      <c r="L21" s="37"/>
      <c r="M21" s="37"/>
      <c r="N21" s="37"/>
    </row>
    <row r="22" spans="1:14" x14ac:dyDescent="0.25">
      <c r="A22" s="37"/>
      <c r="B22" s="37"/>
      <c r="C22" s="37"/>
      <c r="D22" s="37"/>
      <c r="E22" s="37"/>
      <c r="F22" s="37"/>
      <c r="G22" s="37"/>
      <c r="H22" s="37"/>
      <c r="I22" s="37"/>
      <c r="J22" s="37"/>
      <c r="K22" s="37"/>
      <c r="L22" s="37"/>
      <c r="M22" s="37"/>
      <c r="N22" s="37"/>
    </row>
    <row r="23" spans="1:14" x14ac:dyDescent="0.25">
      <c r="A23" s="37"/>
      <c r="B23" s="37"/>
      <c r="C23" s="37"/>
      <c r="D23" s="37"/>
      <c r="E23" s="37"/>
      <c r="F23" s="37"/>
      <c r="G23" s="37"/>
      <c r="H23" s="37"/>
      <c r="I23" s="37"/>
      <c r="J23" s="37"/>
      <c r="K23" s="37"/>
      <c r="L23" s="37"/>
      <c r="M23" s="37"/>
      <c r="N23" s="37"/>
    </row>
    <row r="24" spans="1:14" ht="18.75" customHeight="1" x14ac:dyDescent="0.25">
      <c r="A24" s="37"/>
      <c r="B24" s="37"/>
      <c r="C24" s="37"/>
      <c r="D24" s="37"/>
      <c r="E24" s="37"/>
      <c r="F24" s="37"/>
      <c r="G24" s="37"/>
      <c r="H24" s="37"/>
      <c r="I24" s="37"/>
      <c r="J24" s="37"/>
      <c r="K24" s="37"/>
      <c r="L24" s="37"/>
      <c r="M24" s="37"/>
      <c r="N24" s="37"/>
    </row>
    <row r="25" spans="1:14" ht="14.25" customHeight="1" x14ac:dyDescent="0.25">
      <c r="A25" s="1345" t="s">
        <v>2672</v>
      </c>
      <c r="B25" s="1345"/>
      <c r="C25" s="1345"/>
      <c r="D25" s="1345"/>
      <c r="E25" s="1345"/>
      <c r="F25" s="1345"/>
      <c r="G25" s="1345"/>
      <c r="H25" s="1345"/>
      <c r="I25" s="1345"/>
      <c r="J25" s="1345"/>
      <c r="K25" s="1345"/>
      <c r="L25" s="1345"/>
      <c r="M25" s="1345"/>
      <c r="N25" s="1345"/>
    </row>
    <row r="26" spans="1:14" ht="75" customHeight="1" x14ac:dyDescent="0.25">
      <c r="A26" s="39"/>
      <c r="B26" s="559"/>
      <c r="C26" s="559"/>
      <c r="D26" s="559"/>
      <c r="E26" s="559"/>
      <c r="F26" s="559"/>
      <c r="G26" s="559"/>
      <c r="H26" s="559"/>
      <c r="I26" s="559"/>
      <c r="J26" s="559"/>
      <c r="K26" s="559"/>
      <c r="L26" s="559"/>
      <c r="M26" s="559"/>
      <c r="N26" s="559"/>
    </row>
    <row r="27" spans="1:14" hidden="1" x14ac:dyDescent="0.25"/>
    <row r="28" spans="1:14" hidden="1" x14ac:dyDescent="0.25"/>
    <row r="29" spans="1:14" hidden="1" x14ac:dyDescent="0.25"/>
    <row r="30" spans="1:14" hidden="1" x14ac:dyDescent="0.25"/>
    <row r="31" spans="1:14" hidden="1" x14ac:dyDescent="0.25"/>
    <row r="32" spans="1:14"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sheetData>
  <sheetProtection algorithmName="SHA-512" hashValue="mtmxzoEGIkZrXjOI4h/FlIzC9TwZweofh5U0C0ss09c7QDo9TZTwIK2gHkKUJag7U55CowzaG5Z3jzZrRz3kcw==" saltValue="gH1xqjO1WsXC+oYVtGoiYg==" spinCount="100000" sheet="1" objects="1" scenarios="1" selectLockedCells="1"/>
  <mergeCells count="2">
    <mergeCell ref="A15:XFD15"/>
    <mergeCell ref="A25:N2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AA55"/>
  <sheetViews>
    <sheetView showRowColHeaders="0" zoomScale="90" zoomScaleNormal="90" workbookViewId="0">
      <pane ySplit="3" topLeftCell="A4" activePane="bottomLeft" state="frozen"/>
      <selection activeCell="L2" sqref="L2"/>
      <selection pane="bottomLeft" activeCell="M7" sqref="M7"/>
    </sheetView>
  </sheetViews>
  <sheetFormatPr defaultColWidth="0" defaultRowHeight="15" zeroHeight="1" x14ac:dyDescent="0.25"/>
  <cols>
    <col min="1" max="1" width="1.7109375" style="38" customWidth="1"/>
    <col min="2" max="2" width="5.7109375" style="38" customWidth="1"/>
    <col min="3" max="4" width="12.7109375" style="38" customWidth="1"/>
    <col min="5" max="6" width="10.7109375" style="38" customWidth="1"/>
    <col min="7" max="7" width="6.85546875" style="38" customWidth="1"/>
    <col min="8" max="8" width="7.140625" style="38" customWidth="1"/>
    <col min="9" max="12" width="10.7109375" style="38" customWidth="1"/>
    <col min="13" max="13" width="8.7109375" style="38" customWidth="1"/>
    <col min="14" max="15" width="9.7109375" style="38" customWidth="1"/>
    <col min="16" max="17" width="10.42578125" style="38" customWidth="1"/>
    <col min="18" max="18" width="6.7109375" style="38" customWidth="1"/>
    <col min="19" max="20" width="9.7109375" style="38" customWidth="1"/>
    <col min="21" max="22" width="10.42578125" style="38" customWidth="1"/>
    <col min="23" max="23" width="3.7109375" style="38" customWidth="1"/>
    <col min="24" max="27" width="0" style="38" hidden="1" customWidth="1"/>
    <col min="28" max="16384" width="9.140625" style="38" hidden="1"/>
  </cols>
  <sheetData>
    <row r="1" spans="1:23" ht="11.1" customHeight="1" x14ac:dyDescent="0.25">
      <c r="A1" s="1517" t="s">
        <v>2434</v>
      </c>
      <c r="B1" s="1517"/>
      <c r="C1" s="1517"/>
      <c r="D1" s="1517"/>
      <c r="E1" s="1517"/>
      <c r="F1" s="1517"/>
      <c r="G1" s="1517"/>
      <c r="H1" s="1517"/>
      <c r="I1" s="1517"/>
      <c r="J1" s="1517"/>
      <c r="K1" s="992"/>
      <c r="L1" s="992"/>
      <c r="M1" s="993"/>
      <c r="N1" s="1537" t="s">
        <v>653</v>
      </c>
      <c r="O1" s="1537"/>
      <c r="P1" s="1537"/>
      <c r="Q1" s="1537"/>
      <c r="R1" s="1537"/>
      <c r="S1" s="1537"/>
      <c r="T1" s="1537"/>
      <c r="U1" s="1537"/>
      <c r="V1" s="1537"/>
      <c r="W1" s="993"/>
    </row>
    <row r="2" spans="1:23" ht="11.1" customHeight="1" x14ac:dyDescent="0.25">
      <c r="A2" s="1517"/>
      <c r="B2" s="1517"/>
      <c r="C2" s="1517"/>
      <c r="D2" s="1517"/>
      <c r="E2" s="1517"/>
      <c r="F2" s="1517"/>
      <c r="G2" s="1517"/>
      <c r="H2" s="1517"/>
      <c r="I2" s="1517"/>
      <c r="J2" s="1517"/>
      <c r="K2" s="992"/>
      <c r="L2" s="992"/>
      <c r="M2" s="993"/>
      <c r="N2" s="1537"/>
      <c r="O2" s="1537"/>
      <c r="P2" s="1537"/>
      <c r="Q2" s="1537"/>
      <c r="R2" s="1537"/>
      <c r="S2" s="1537"/>
      <c r="T2" s="1537"/>
      <c r="U2" s="1537"/>
      <c r="V2" s="1537"/>
      <c r="W2" s="993"/>
    </row>
    <row r="3" spans="1:23" ht="11.1" customHeight="1" x14ac:dyDescent="0.25">
      <c r="A3" s="1517"/>
      <c r="B3" s="1517"/>
      <c r="C3" s="1517"/>
      <c r="D3" s="1517"/>
      <c r="E3" s="1517"/>
      <c r="F3" s="1517"/>
      <c r="G3" s="1517"/>
      <c r="H3" s="1517"/>
      <c r="I3" s="1517"/>
      <c r="J3" s="1517"/>
      <c r="K3" s="992"/>
      <c r="L3" s="992"/>
      <c r="M3" s="994"/>
      <c r="N3" s="1537"/>
      <c r="O3" s="1537"/>
      <c r="P3" s="1537"/>
      <c r="Q3" s="1537"/>
      <c r="R3" s="1537"/>
      <c r="S3" s="1537"/>
      <c r="T3" s="1537"/>
      <c r="U3" s="1537"/>
      <c r="V3" s="1537"/>
      <c r="W3" s="995"/>
    </row>
    <row r="4" spans="1:23" ht="18" customHeight="1" x14ac:dyDescent="0.25">
      <c r="A4" s="19"/>
      <c r="B4" s="21"/>
      <c r="C4" s="22"/>
      <c r="D4" s="22"/>
      <c r="E4" s="22"/>
      <c r="F4" s="22"/>
      <c r="G4" s="22"/>
      <c r="H4" s="24"/>
      <c r="I4" s="37"/>
      <c r="J4" s="24"/>
      <c r="K4" s="37"/>
      <c r="L4" s="37"/>
      <c r="M4" s="37"/>
      <c r="N4" s="19"/>
      <c r="O4" s="19"/>
      <c r="P4" s="19"/>
      <c r="Q4" s="19"/>
      <c r="R4" s="19"/>
      <c r="S4" s="19"/>
      <c r="T4" s="19"/>
      <c r="U4" s="19"/>
      <c r="V4" s="19"/>
      <c r="W4" s="19"/>
    </row>
    <row r="5" spans="1:23" ht="24" customHeight="1" x14ac:dyDescent="0.25">
      <c r="A5" s="20"/>
      <c r="B5" s="1521" t="s">
        <v>54</v>
      </c>
      <c r="C5" s="1522"/>
      <c r="D5" s="1522"/>
      <c r="E5" s="980" t="s">
        <v>209</v>
      </c>
      <c r="F5" s="981" t="s">
        <v>493</v>
      </c>
      <c r="G5" s="25"/>
      <c r="H5" s="1524" t="s">
        <v>0</v>
      </c>
      <c r="I5" s="1525"/>
      <c r="J5" s="1525"/>
      <c r="K5" s="959" t="s">
        <v>209</v>
      </c>
      <c r="L5" s="960" t="s">
        <v>493</v>
      </c>
      <c r="M5" s="37"/>
      <c r="N5" s="37"/>
      <c r="O5" s="37"/>
      <c r="P5" s="37"/>
      <c r="Q5" s="37"/>
      <c r="R5" s="19"/>
      <c r="S5" s="23"/>
      <c r="T5" s="23"/>
      <c r="U5" s="23"/>
      <c r="V5" s="23"/>
      <c r="W5" s="23"/>
    </row>
    <row r="6" spans="1:23" x14ac:dyDescent="0.25">
      <c r="A6" s="20"/>
      <c r="B6" s="976" t="s">
        <v>59</v>
      </c>
      <c r="C6" s="1526" t="s">
        <v>55</v>
      </c>
      <c r="D6" s="1526"/>
      <c r="E6" s="962">
        <v>5</v>
      </c>
      <c r="F6" s="963">
        <f>Energy!H5</f>
        <v>0</v>
      </c>
      <c r="G6" s="25"/>
      <c r="H6" s="961" t="s">
        <v>57</v>
      </c>
      <c r="I6" s="1526" t="s">
        <v>58</v>
      </c>
      <c r="J6" s="1526"/>
      <c r="K6" s="962">
        <v>5</v>
      </c>
      <c r="L6" s="963">
        <f>'Local Environment'!H5</f>
        <v>0</v>
      </c>
      <c r="M6" s="37"/>
      <c r="N6" s="37"/>
      <c r="O6" s="37"/>
      <c r="P6" s="37"/>
      <c r="Q6" s="37"/>
      <c r="R6" s="19"/>
      <c r="S6" s="23"/>
      <c r="T6" s="23"/>
      <c r="U6" s="23"/>
      <c r="V6" s="23"/>
      <c r="W6" s="23"/>
    </row>
    <row r="7" spans="1:23" x14ac:dyDescent="0.25">
      <c r="A7" s="20"/>
      <c r="B7" s="977" t="s">
        <v>63</v>
      </c>
      <c r="C7" s="1518" t="s">
        <v>48</v>
      </c>
      <c r="D7" s="1518"/>
      <c r="E7" s="936">
        <v>4</v>
      </c>
      <c r="F7" s="965">
        <f>Energy!H6</f>
        <v>0</v>
      </c>
      <c r="G7" s="25"/>
      <c r="H7" s="964" t="s">
        <v>61</v>
      </c>
      <c r="I7" s="938" t="s">
        <v>62</v>
      </c>
      <c r="J7" s="938"/>
      <c r="K7" s="939">
        <v>2</v>
      </c>
      <c r="L7" s="965">
        <f>'Local Environment'!H6</f>
        <v>0</v>
      </c>
      <c r="M7" s="37"/>
      <c r="N7" s="37"/>
      <c r="O7" s="37"/>
      <c r="P7" s="37"/>
      <c r="Q7" s="37"/>
      <c r="R7" s="19"/>
      <c r="S7" s="23"/>
      <c r="T7" s="23"/>
      <c r="U7" s="23"/>
      <c r="V7" s="23"/>
      <c r="W7" s="23"/>
    </row>
    <row r="8" spans="1:23" x14ac:dyDescent="0.25">
      <c r="A8" s="20"/>
      <c r="B8" s="977" t="s">
        <v>67</v>
      </c>
      <c r="C8" s="1518" t="s">
        <v>2217</v>
      </c>
      <c r="D8" s="1518"/>
      <c r="E8" s="936">
        <v>6</v>
      </c>
      <c r="F8" s="965">
        <f>Energy!H7</f>
        <v>0</v>
      </c>
      <c r="G8" s="25"/>
      <c r="H8" s="964" t="s">
        <v>65</v>
      </c>
      <c r="I8" s="1518" t="s">
        <v>127</v>
      </c>
      <c r="J8" s="1518"/>
      <c r="K8" s="939">
        <v>2</v>
      </c>
      <c r="L8" s="965">
        <f>'Local Environment'!H7</f>
        <v>0</v>
      </c>
      <c r="M8" s="37"/>
      <c r="N8" s="37"/>
      <c r="O8" s="37"/>
      <c r="P8" s="37"/>
      <c r="Q8" s="37"/>
      <c r="R8" s="19"/>
      <c r="S8" s="23"/>
      <c r="T8" s="23"/>
      <c r="U8" s="23"/>
      <c r="V8" s="23"/>
      <c r="W8" s="23"/>
    </row>
    <row r="9" spans="1:23" x14ac:dyDescent="0.25">
      <c r="A9" s="20"/>
      <c r="B9" s="977" t="s">
        <v>70</v>
      </c>
      <c r="C9" s="1518" t="s">
        <v>71</v>
      </c>
      <c r="D9" s="1518"/>
      <c r="E9" s="936">
        <v>4</v>
      </c>
      <c r="F9" s="965">
        <f>Energy!H8</f>
        <v>0</v>
      </c>
      <c r="G9" s="25"/>
      <c r="H9" s="964" t="s">
        <v>69</v>
      </c>
      <c r="I9" s="1518" t="s">
        <v>66</v>
      </c>
      <c r="J9" s="1518"/>
      <c r="K9" s="939">
        <v>2</v>
      </c>
      <c r="L9" s="965">
        <f>'Local Environment'!H8</f>
        <v>0</v>
      </c>
      <c r="M9" s="37"/>
      <c r="N9" s="37"/>
      <c r="O9" s="37"/>
      <c r="P9" s="37"/>
      <c r="Q9" s="37"/>
      <c r="R9" s="19"/>
      <c r="S9" s="23"/>
      <c r="T9" s="23"/>
      <c r="U9" s="23"/>
      <c r="V9" s="23"/>
      <c r="W9" s="23"/>
    </row>
    <row r="10" spans="1:23" x14ac:dyDescent="0.25">
      <c r="A10" s="20"/>
      <c r="B10" s="977" t="s">
        <v>74</v>
      </c>
      <c r="C10" s="1518" t="s">
        <v>75</v>
      </c>
      <c r="D10" s="1518"/>
      <c r="E10" s="936">
        <v>2</v>
      </c>
      <c r="F10" s="965">
        <f>Energy!H9</f>
        <v>0</v>
      </c>
      <c r="G10" s="25"/>
      <c r="H10" s="964" t="s">
        <v>73</v>
      </c>
      <c r="I10" s="1518" t="s">
        <v>133</v>
      </c>
      <c r="J10" s="1518"/>
      <c r="K10" s="939">
        <v>2</v>
      </c>
      <c r="L10" s="965">
        <f>'Local Environment'!H9</f>
        <v>0</v>
      </c>
      <c r="M10" s="37"/>
      <c r="N10" s="37"/>
      <c r="O10" s="37"/>
      <c r="P10" s="37"/>
      <c r="Q10" s="37"/>
      <c r="R10" s="19"/>
      <c r="S10" s="23"/>
      <c r="T10" s="23"/>
      <c r="U10" s="23"/>
      <c r="V10" s="23"/>
      <c r="W10" s="23"/>
    </row>
    <row r="11" spans="1:23" x14ac:dyDescent="0.25">
      <c r="A11" s="20"/>
      <c r="B11" s="977" t="s">
        <v>78</v>
      </c>
      <c r="C11" s="1518" t="s">
        <v>2225</v>
      </c>
      <c r="D11" s="1518"/>
      <c r="E11" s="936">
        <v>1</v>
      </c>
      <c r="F11" s="965">
        <f>Energy!H10</f>
        <v>0</v>
      </c>
      <c r="G11" s="25"/>
      <c r="H11" s="964" t="s">
        <v>77</v>
      </c>
      <c r="I11" s="1518" t="s">
        <v>234</v>
      </c>
      <c r="J11" s="1518"/>
      <c r="K11" s="939">
        <v>1</v>
      </c>
      <c r="L11" s="965">
        <f>'Local Environment'!H10</f>
        <v>0</v>
      </c>
      <c r="M11" s="37"/>
      <c r="N11" s="37"/>
      <c r="O11" s="37"/>
      <c r="P11" s="37"/>
      <c r="Q11" s="37"/>
      <c r="R11" s="19"/>
      <c r="S11" s="23"/>
      <c r="T11" s="23"/>
      <c r="U11" s="23"/>
      <c r="V11" s="23"/>
      <c r="W11" s="23"/>
    </row>
    <row r="12" spans="1:23" x14ac:dyDescent="0.25">
      <c r="A12" s="20"/>
      <c r="B12" s="966" t="s">
        <v>76</v>
      </c>
      <c r="C12" s="1523" t="s">
        <v>365</v>
      </c>
      <c r="D12" s="1523"/>
      <c r="E12" s="967">
        <v>6</v>
      </c>
      <c r="F12" s="968">
        <f>Energy!H11</f>
        <v>0</v>
      </c>
      <c r="G12" s="25"/>
      <c r="H12" s="964" t="s">
        <v>126</v>
      </c>
      <c r="I12" s="1518" t="s">
        <v>100</v>
      </c>
      <c r="J12" s="1518"/>
      <c r="K12" s="939">
        <v>1</v>
      </c>
      <c r="L12" s="965">
        <f>'Local Environment'!H11</f>
        <v>0</v>
      </c>
      <c r="M12" s="37"/>
      <c r="N12" s="37"/>
      <c r="O12" s="37"/>
      <c r="P12" s="37"/>
      <c r="Q12" s="37"/>
      <c r="R12" s="19"/>
      <c r="S12" s="23"/>
      <c r="T12" s="23"/>
      <c r="U12" s="23"/>
      <c r="V12" s="23"/>
      <c r="W12" s="23"/>
    </row>
    <row r="13" spans="1:23" x14ac:dyDescent="0.25">
      <c r="A13" s="20"/>
      <c r="B13" s="23"/>
      <c r="C13" s="23"/>
      <c r="D13" s="969" t="s">
        <v>79</v>
      </c>
      <c r="E13" s="970">
        <f>SUM(E6:E12)</f>
        <v>28</v>
      </c>
      <c r="F13" s="971">
        <f>SUM(F6:F12)</f>
        <v>0</v>
      </c>
      <c r="G13" s="37"/>
      <c r="H13" s="1029" t="s">
        <v>155</v>
      </c>
      <c r="I13" s="1523" t="s">
        <v>2061</v>
      </c>
      <c r="J13" s="1523"/>
      <c r="K13" s="967">
        <v>1</v>
      </c>
      <c r="L13" s="968">
        <f>'Local Environment'!H12</f>
        <v>0</v>
      </c>
      <c r="M13" s="37"/>
      <c r="N13" s="37"/>
      <c r="O13" s="37"/>
      <c r="P13" s="37"/>
      <c r="Q13" s="37"/>
      <c r="R13" s="19"/>
      <c r="S13" s="23"/>
      <c r="T13" s="23"/>
      <c r="U13" s="23"/>
      <c r="V13" s="23"/>
      <c r="W13" s="23"/>
    </row>
    <row r="14" spans="1:23" ht="15" customHeight="1" x14ac:dyDescent="0.25">
      <c r="A14" s="20"/>
      <c r="B14" s="23"/>
      <c r="C14" s="23"/>
      <c r="D14" s="23"/>
      <c r="E14" s="23"/>
      <c r="F14" s="23"/>
      <c r="G14" s="37"/>
      <c r="H14" s="19"/>
      <c r="I14" s="19"/>
      <c r="J14" s="1026" t="s">
        <v>79</v>
      </c>
      <c r="K14" s="1027">
        <f>SUM(K6:K13)</f>
        <v>16</v>
      </c>
      <c r="L14" s="1028">
        <f>SUM(L6:L13)</f>
        <v>0</v>
      </c>
      <c r="M14" s="37"/>
      <c r="N14" s="37"/>
      <c r="O14" s="37"/>
      <c r="P14" s="37"/>
      <c r="Q14" s="37"/>
      <c r="R14" s="19"/>
      <c r="S14" s="23"/>
      <c r="T14" s="23"/>
      <c r="U14" s="23"/>
      <c r="V14" s="23"/>
      <c r="W14" s="23"/>
    </row>
    <row r="15" spans="1:23" x14ac:dyDescent="0.25">
      <c r="A15" s="20"/>
      <c r="B15" s="23"/>
      <c r="C15" s="23"/>
      <c r="D15" s="23"/>
      <c r="E15" s="23"/>
      <c r="F15" s="23"/>
      <c r="G15" s="37"/>
      <c r="H15" s="37"/>
      <c r="I15" s="37"/>
      <c r="J15" s="37"/>
      <c r="K15" s="37"/>
      <c r="L15" s="37"/>
      <c r="M15" s="37"/>
      <c r="N15" s="37"/>
      <c r="O15" s="37"/>
      <c r="P15" s="37"/>
      <c r="Q15" s="37"/>
      <c r="R15" s="19"/>
      <c r="S15" s="23"/>
      <c r="T15" s="23"/>
      <c r="U15" s="23"/>
      <c r="V15" s="23"/>
      <c r="W15" s="23"/>
    </row>
    <row r="16" spans="1:23" ht="24" customHeight="1" x14ac:dyDescent="0.25">
      <c r="A16" s="20"/>
      <c r="B16" s="1530" t="s">
        <v>31</v>
      </c>
      <c r="C16" s="1531"/>
      <c r="D16" s="1531"/>
      <c r="E16" s="978" t="s">
        <v>209</v>
      </c>
      <c r="F16" s="979" t="s">
        <v>493</v>
      </c>
      <c r="G16" s="37"/>
      <c r="H16" s="1527" t="s">
        <v>11</v>
      </c>
      <c r="I16" s="1528"/>
      <c r="J16" s="1528"/>
      <c r="K16" s="972" t="s">
        <v>209</v>
      </c>
      <c r="L16" s="973" t="s">
        <v>493</v>
      </c>
      <c r="M16" s="37"/>
      <c r="N16" s="37"/>
      <c r="O16" s="37"/>
      <c r="P16" s="37"/>
      <c r="Q16" s="37"/>
      <c r="R16" s="19"/>
      <c r="S16" s="23"/>
      <c r="T16" s="23"/>
      <c r="U16" s="23"/>
      <c r="V16" s="23"/>
      <c r="W16" s="23"/>
    </row>
    <row r="17" spans="1:23" x14ac:dyDescent="0.25">
      <c r="A17" s="20"/>
      <c r="B17" s="976" t="s">
        <v>85</v>
      </c>
      <c r="C17" s="1526" t="s">
        <v>86</v>
      </c>
      <c r="D17" s="1526"/>
      <c r="E17" s="962">
        <v>5</v>
      </c>
      <c r="F17" s="963">
        <f>Water!H6</f>
        <v>0</v>
      </c>
      <c r="G17" s="37"/>
      <c r="H17" s="961" t="s">
        <v>80</v>
      </c>
      <c r="I17" s="1526" t="s">
        <v>81</v>
      </c>
      <c r="J17" s="1526"/>
      <c r="K17" s="962">
        <v>2</v>
      </c>
      <c r="L17" s="963">
        <f>'Health &amp; Comfort'!H6</f>
        <v>0</v>
      </c>
      <c r="M17" s="37"/>
      <c r="N17" s="37"/>
      <c r="O17" s="37"/>
      <c r="P17" s="37"/>
      <c r="Q17" s="37"/>
      <c r="R17" s="19"/>
      <c r="S17" s="23"/>
      <c r="T17" s="23"/>
      <c r="U17" s="23"/>
      <c r="V17" s="23"/>
      <c r="W17" s="23"/>
    </row>
    <row r="18" spans="1:23" ht="15" customHeight="1" x14ac:dyDescent="0.25">
      <c r="A18" s="20"/>
      <c r="B18" s="977" t="s">
        <v>90</v>
      </c>
      <c r="C18" s="1518" t="s">
        <v>91</v>
      </c>
      <c r="D18" s="1518"/>
      <c r="E18" s="936">
        <v>2</v>
      </c>
      <c r="F18" s="965">
        <f>Water!H7</f>
        <v>0</v>
      </c>
      <c r="G18" s="37"/>
      <c r="H18" s="964" t="s">
        <v>82</v>
      </c>
      <c r="I18" s="1518" t="s">
        <v>83</v>
      </c>
      <c r="J18" s="1518"/>
      <c r="K18" s="936">
        <v>1</v>
      </c>
      <c r="L18" s="965">
        <f>'Health &amp; Comfort'!H7</f>
        <v>0</v>
      </c>
      <c r="M18" s="37"/>
      <c r="N18" s="37"/>
      <c r="O18" s="37"/>
      <c r="P18" s="37"/>
      <c r="Q18" s="37"/>
      <c r="R18" s="19"/>
      <c r="S18" s="23"/>
      <c r="T18" s="23"/>
      <c r="U18" s="23"/>
      <c r="V18" s="23"/>
      <c r="W18" s="23"/>
    </row>
    <row r="19" spans="1:23" x14ac:dyDescent="0.25">
      <c r="A19" s="20"/>
      <c r="B19" s="977" t="s">
        <v>94</v>
      </c>
      <c r="C19" s="1518" t="s">
        <v>154</v>
      </c>
      <c r="D19" s="1518"/>
      <c r="E19" s="936">
        <v>1</v>
      </c>
      <c r="F19" s="965">
        <f>Water!H8</f>
        <v>0</v>
      </c>
      <c r="G19" s="37"/>
      <c r="H19" s="964" t="s">
        <v>87</v>
      </c>
      <c r="I19" s="1518" t="s">
        <v>1818</v>
      </c>
      <c r="J19" s="1518"/>
      <c r="K19" s="939">
        <v>1</v>
      </c>
      <c r="L19" s="965">
        <f>'Health &amp; Comfort'!H8</f>
        <v>0</v>
      </c>
      <c r="M19" s="37"/>
      <c r="N19" s="37"/>
      <c r="O19" s="37"/>
      <c r="P19" s="37"/>
      <c r="Q19" s="37"/>
      <c r="R19" s="19"/>
      <c r="S19" s="23"/>
      <c r="T19" s="23"/>
      <c r="U19" s="23"/>
      <c r="V19" s="23"/>
      <c r="W19" s="23"/>
    </row>
    <row r="20" spans="1:23" ht="15" customHeight="1" x14ac:dyDescent="0.25">
      <c r="A20" s="20"/>
      <c r="B20" s="966" t="s">
        <v>76</v>
      </c>
      <c r="C20" s="1523" t="s">
        <v>365</v>
      </c>
      <c r="D20" s="1523"/>
      <c r="E20" s="967">
        <v>3</v>
      </c>
      <c r="F20" s="968">
        <f>Water!H9</f>
        <v>0</v>
      </c>
      <c r="G20" s="37"/>
      <c r="H20" s="964" t="s">
        <v>92</v>
      </c>
      <c r="I20" s="1518" t="s">
        <v>1736</v>
      </c>
      <c r="J20" s="1518"/>
      <c r="K20" s="936">
        <v>3</v>
      </c>
      <c r="L20" s="965">
        <f>'Health &amp; Comfort'!H9</f>
        <v>0</v>
      </c>
      <c r="M20" s="37"/>
      <c r="N20" s="37"/>
      <c r="O20" s="37"/>
      <c r="P20" s="37"/>
      <c r="Q20" s="37"/>
      <c r="R20" s="19"/>
      <c r="S20" s="23"/>
      <c r="T20" s="23"/>
      <c r="U20" s="23"/>
      <c r="V20" s="23"/>
      <c r="W20" s="23"/>
    </row>
    <row r="21" spans="1:23" ht="15" customHeight="1" x14ac:dyDescent="0.25">
      <c r="A21" s="20"/>
      <c r="C21" s="20"/>
      <c r="D21" s="969" t="s">
        <v>79</v>
      </c>
      <c r="E21" s="970">
        <f>SUM(E17:E20)</f>
        <v>11</v>
      </c>
      <c r="F21" s="971">
        <f>SUM(F17:F20)</f>
        <v>0</v>
      </c>
      <c r="G21" s="37"/>
      <c r="H21" s="964" t="s">
        <v>729</v>
      </c>
      <c r="I21" s="1518" t="s">
        <v>95</v>
      </c>
      <c r="J21" s="1518"/>
      <c r="K21" s="936">
        <v>3</v>
      </c>
      <c r="L21" s="965">
        <f>'Health &amp; Comfort'!H10</f>
        <v>0</v>
      </c>
      <c r="M21" s="37"/>
      <c r="N21" s="37"/>
      <c r="O21" s="37"/>
      <c r="P21" s="37"/>
      <c r="Q21" s="37"/>
      <c r="R21" s="19"/>
      <c r="S21" s="23"/>
      <c r="T21" s="23"/>
      <c r="U21" s="23"/>
      <c r="V21" s="23"/>
      <c r="W21" s="23"/>
    </row>
    <row r="22" spans="1:23" x14ac:dyDescent="0.25">
      <c r="A22" s="20"/>
      <c r="B22" s="20"/>
      <c r="C22" s="20"/>
      <c r="D22" s="20"/>
      <c r="E22" s="20"/>
      <c r="F22" s="20"/>
      <c r="G22" s="37"/>
      <c r="H22" s="964" t="s">
        <v>1788</v>
      </c>
      <c r="I22" s="1518" t="s">
        <v>1812</v>
      </c>
      <c r="J22" s="1518"/>
      <c r="K22" s="936">
        <v>2</v>
      </c>
      <c r="L22" s="965">
        <f>'Health &amp; Comfort'!H11</f>
        <v>0</v>
      </c>
      <c r="M22" s="37"/>
      <c r="N22" s="23"/>
      <c r="O22" s="23"/>
      <c r="P22" s="23"/>
      <c r="Q22" s="23"/>
      <c r="R22" s="23"/>
      <c r="S22" s="23"/>
      <c r="T22" s="23"/>
      <c r="U22" s="23"/>
      <c r="V22" s="23"/>
      <c r="W22" s="23"/>
    </row>
    <row r="23" spans="1:23" ht="15" customHeight="1" x14ac:dyDescent="0.25">
      <c r="A23" s="20"/>
      <c r="B23" s="20"/>
      <c r="C23" s="20"/>
      <c r="D23" s="20"/>
      <c r="E23" s="20"/>
      <c r="F23" s="20"/>
      <c r="G23" s="37"/>
      <c r="H23" s="966" t="s">
        <v>76</v>
      </c>
      <c r="I23" s="1523" t="s">
        <v>365</v>
      </c>
      <c r="J23" s="1523"/>
      <c r="K23" s="967">
        <v>3</v>
      </c>
      <c r="L23" s="968">
        <f>'Health &amp; Comfort'!H12</f>
        <v>0</v>
      </c>
      <c r="M23" s="37"/>
      <c r="N23" s="23"/>
      <c r="O23" s="23"/>
      <c r="P23" s="23"/>
      <c r="Q23" s="23"/>
      <c r="R23" s="23"/>
      <c r="S23" s="23"/>
      <c r="T23" s="23"/>
      <c r="U23" s="23"/>
      <c r="V23" s="23"/>
      <c r="W23" s="23"/>
    </row>
    <row r="24" spans="1:23" x14ac:dyDescent="0.25">
      <c r="A24" s="20"/>
      <c r="B24" s="20"/>
      <c r="C24" s="20"/>
      <c r="D24" s="20"/>
      <c r="E24" s="20"/>
      <c r="F24" s="20"/>
      <c r="G24" s="37"/>
      <c r="H24" s="23"/>
      <c r="I24" s="37"/>
      <c r="J24" s="969" t="s">
        <v>79</v>
      </c>
      <c r="K24" s="970">
        <f>SUM(K17:K23)</f>
        <v>15</v>
      </c>
      <c r="L24" s="971">
        <f>SUM(L17:L23)</f>
        <v>0</v>
      </c>
      <c r="M24" s="37"/>
      <c r="N24" s="23"/>
      <c r="O24" s="23"/>
      <c r="P24" s="23"/>
      <c r="Q24" s="23"/>
      <c r="R24" s="23"/>
      <c r="S24" s="23"/>
      <c r="T24" s="23"/>
      <c r="U24" s="23"/>
      <c r="V24" s="23"/>
      <c r="W24" s="23"/>
    </row>
    <row r="25" spans="1:23" ht="12" customHeight="1" x14ac:dyDescent="0.25">
      <c r="A25" s="20"/>
      <c r="B25" s="20"/>
      <c r="C25" s="20"/>
      <c r="D25" s="20"/>
      <c r="E25" s="20"/>
      <c r="F25" s="20"/>
      <c r="G25" s="23"/>
      <c r="H25" s="24"/>
      <c r="I25" s="37"/>
      <c r="J25" s="37"/>
      <c r="K25" s="37"/>
      <c r="L25" s="19"/>
      <c r="M25" s="37"/>
      <c r="N25" s="34"/>
      <c r="O25" s="34"/>
      <c r="P25" s="34"/>
      <c r="Q25" s="34"/>
      <c r="R25" s="34"/>
      <c r="S25" s="34"/>
      <c r="T25" s="23"/>
      <c r="U25" s="23"/>
      <c r="V25" s="23"/>
      <c r="W25" s="23"/>
    </row>
    <row r="26" spans="1:23" ht="24" customHeight="1" x14ac:dyDescent="0.25">
      <c r="A26" s="20"/>
      <c r="B26" s="1538" t="s">
        <v>196</v>
      </c>
      <c r="C26" s="1539"/>
      <c r="D26" s="1539"/>
      <c r="E26" s="996" t="s">
        <v>209</v>
      </c>
      <c r="F26" s="997" t="s">
        <v>493</v>
      </c>
      <c r="G26" s="23"/>
      <c r="H26" s="1535" t="s">
        <v>138</v>
      </c>
      <c r="I26" s="1536"/>
      <c r="J26" s="1536"/>
      <c r="K26" s="974" t="s">
        <v>209</v>
      </c>
      <c r="L26" s="975" t="s">
        <v>493</v>
      </c>
      <c r="M26" s="37"/>
      <c r="N26" s="34"/>
      <c r="O26" s="34"/>
      <c r="P26" s="34"/>
      <c r="Q26" s="34"/>
      <c r="R26" s="34"/>
      <c r="S26" s="34"/>
      <c r="T26" s="23"/>
      <c r="U26" s="23"/>
      <c r="V26" s="23"/>
      <c r="W26" s="23"/>
    </row>
    <row r="27" spans="1:23" ht="16.5" customHeight="1" x14ac:dyDescent="0.25">
      <c r="A27" s="20"/>
      <c r="B27" s="976" t="s">
        <v>56</v>
      </c>
      <c r="C27" s="1526" t="s">
        <v>1584</v>
      </c>
      <c r="D27" s="1526"/>
      <c r="E27" s="962">
        <v>3</v>
      </c>
      <c r="F27" s="963">
        <f ca="1">Materials!H6</f>
        <v>0</v>
      </c>
      <c r="G27" s="23"/>
      <c r="H27" s="976" t="s">
        <v>139</v>
      </c>
      <c r="I27" s="1526" t="s">
        <v>84</v>
      </c>
      <c r="J27" s="1526"/>
      <c r="K27" s="962">
        <v>1</v>
      </c>
      <c r="L27" s="963">
        <f>'Community &amp; Management'!H6</f>
        <v>0</v>
      </c>
      <c r="M27" s="37"/>
      <c r="N27" s="34"/>
      <c r="O27" s="34"/>
      <c r="P27" s="34"/>
      <c r="Q27" s="34"/>
      <c r="R27" s="34"/>
      <c r="S27" s="34"/>
      <c r="T27" s="23"/>
      <c r="U27" s="23"/>
      <c r="V27" s="23"/>
      <c r="W27" s="23"/>
    </row>
    <row r="28" spans="1:23" ht="15" customHeight="1" x14ac:dyDescent="0.25">
      <c r="A28" s="20"/>
      <c r="B28" s="977" t="s">
        <v>60</v>
      </c>
      <c r="C28" s="1518" t="s">
        <v>892</v>
      </c>
      <c r="D28" s="1518"/>
      <c r="E28" s="939">
        <v>3</v>
      </c>
      <c r="F28" s="965">
        <f ca="1">Materials!H7</f>
        <v>0</v>
      </c>
      <c r="G28" s="23"/>
      <c r="H28" s="977" t="s">
        <v>140</v>
      </c>
      <c r="I28" s="1518" t="s">
        <v>89</v>
      </c>
      <c r="J28" s="1518"/>
      <c r="K28" s="939">
        <v>3</v>
      </c>
      <c r="L28" s="965">
        <f>'Community &amp; Management'!H7</f>
        <v>0</v>
      </c>
      <c r="M28" s="37"/>
      <c r="N28" s="34"/>
      <c r="O28" s="34"/>
      <c r="P28" s="34"/>
      <c r="Q28" s="34"/>
      <c r="R28" s="34"/>
      <c r="S28" s="34"/>
      <c r="T28" s="23"/>
      <c r="U28" s="23"/>
      <c r="V28" s="23"/>
      <c r="W28" s="23"/>
    </row>
    <row r="29" spans="1:23" ht="16.5" customHeight="1" x14ac:dyDescent="0.25">
      <c r="A29" s="20"/>
      <c r="B29" s="977" t="s">
        <v>64</v>
      </c>
      <c r="C29" s="1518" t="s">
        <v>1587</v>
      </c>
      <c r="D29" s="1518"/>
      <c r="E29" s="939">
        <v>2</v>
      </c>
      <c r="F29" s="965">
        <f>Materials!H8</f>
        <v>0</v>
      </c>
      <c r="G29" s="23"/>
      <c r="H29" s="977" t="s">
        <v>141</v>
      </c>
      <c r="I29" s="1518" t="s">
        <v>93</v>
      </c>
      <c r="J29" s="1518"/>
      <c r="K29" s="939">
        <v>3</v>
      </c>
      <c r="L29" s="965">
        <f>'Community &amp; Management'!H8</f>
        <v>0</v>
      </c>
      <c r="M29" s="37"/>
      <c r="N29" s="1520" t="s">
        <v>210</v>
      </c>
      <c r="O29" s="1520"/>
      <c r="P29" s="1520"/>
      <c r="Q29" s="1520"/>
      <c r="R29" s="23"/>
      <c r="S29" s="1520" t="s">
        <v>559</v>
      </c>
      <c r="T29" s="1520"/>
      <c r="U29" s="1520"/>
      <c r="V29" s="1520"/>
      <c r="W29" s="23"/>
    </row>
    <row r="30" spans="1:23" ht="16.5" customHeight="1" x14ac:dyDescent="0.25">
      <c r="A30" s="20"/>
      <c r="B30" s="977" t="s">
        <v>68</v>
      </c>
      <c r="C30" s="1518" t="s">
        <v>1585</v>
      </c>
      <c r="D30" s="1518"/>
      <c r="E30" s="939">
        <v>2</v>
      </c>
      <c r="F30" s="965">
        <f ca="1">Materials!H9</f>
        <v>0</v>
      </c>
      <c r="G30" s="23"/>
      <c r="H30" s="1519" t="s">
        <v>1813</v>
      </c>
      <c r="I30" s="1518" t="s">
        <v>1814</v>
      </c>
      <c r="J30" s="1518"/>
      <c r="K30" s="1532">
        <v>1</v>
      </c>
      <c r="L30" s="1533">
        <f>'Community &amp; Management'!H9</f>
        <v>0</v>
      </c>
      <c r="M30" s="37"/>
      <c r="N30" s="1520"/>
      <c r="O30" s="1520"/>
      <c r="P30" s="1520"/>
      <c r="Q30" s="1520"/>
      <c r="R30" s="23"/>
      <c r="S30" s="1520"/>
      <c r="T30" s="1520"/>
      <c r="U30" s="1520"/>
      <c r="V30" s="1520"/>
      <c r="W30" s="37"/>
    </row>
    <row r="31" spans="1:23" ht="16.5" customHeight="1" x14ac:dyDescent="0.25">
      <c r="A31" s="20"/>
      <c r="B31" s="977" t="s">
        <v>72</v>
      </c>
      <c r="C31" s="1518" t="s">
        <v>1586</v>
      </c>
      <c r="D31" s="1518"/>
      <c r="E31" s="939">
        <v>2</v>
      </c>
      <c r="F31" s="965">
        <f ca="1">Materials!H10</f>
        <v>0</v>
      </c>
      <c r="G31" s="23"/>
      <c r="H31" s="1519"/>
      <c r="I31" s="1518"/>
      <c r="J31" s="1518"/>
      <c r="K31" s="1532"/>
      <c r="L31" s="1533"/>
      <c r="M31" s="37"/>
      <c r="N31" s="1529" t="s">
        <v>151</v>
      </c>
      <c r="O31" s="1529"/>
      <c r="P31" s="1534">
        <f>E13+E21+E33+K24+K14+K33+E38</f>
        <v>100</v>
      </c>
      <c r="Q31" s="1534"/>
      <c r="R31" s="23"/>
      <c r="S31" s="1543" t="str">
        <f ca="1">IF(P32&gt;59, "Platinum",IF(P32&gt;51,"Gold",IF(P32&gt;43,"Silver",IF(P32&gt;31,"Certified","Uncertified"))))</f>
        <v>Uncertified</v>
      </c>
      <c r="T31" s="1543"/>
      <c r="U31" s="1543"/>
      <c r="V31" s="1543"/>
      <c r="W31" s="37"/>
    </row>
    <row r="32" spans="1:23" ht="16.5" customHeight="1" x14ac:dyDescent="0.25">
      <c r="A32" s="20"/>
      <c r="B32" s="966" t="s">
        <v>591</v>
      </c>
      <c r="C32" s="1523" t="s">
        <v>757</v>
      </c>
      <c r="D32" s="1523"/>
      <c r="E32" s="967">
        <v>2</v>
      </c>
      <c r="F32" s="968">
        <f>Materials!H11</f>
        <v>0</v>
      </c>
      <c r="G32" s="23"/>
      <c r="H32" s="966" t="s">
        <v>76</v>
      </c>
      <c r="I32" s="1523" t="s">
        <v>365</v>
      </c>
      <c r="J32" s="1523"/>
      <c r="K32" s="967">
        <v>4</v>
      </c>
      <c r="L32" s="968">
        <f>'Community &amp; Management'!H10</f>
        <v>0</v>
      </c>
      <c r="M32" s="19"/>
      <c r="N32" s="1529" t="s">
        <v>558</v>
      </c>
      <c r="O32" s="1529"/>
      <c r="P32" s="1534">
        <f ca="1">F13+F21+F33+L24+L14+L33+F38</f>
        <v>0</v>
      </c>
      <c r="Q32" s="1534"/>
      <c r="R32" s="19"/>
      <c r="S32" s="1543"/>
      <c r="T32" s="1543"/>
      <c r="U32" s="1543"/>
      <c r="V32" s="1543"/>
      <c r="W32" s="37"/>
    </row>
    <row r="33" spans="1:23" ht="16.5" customHeight="1" x14ac:dyDescent="0.25">
      <c r="A33" s="20"/>
      <c r="B33" s="20"/>
      <c r="C33" s="20"/>
      <c r="D33" s="969" t="s">
        <v>79</v>
      </c>
      <c r="E33" s="970">
        <f>SUM(E27:E32)</f>
        <v>14</v>
      </c>
      <c r="F33" s="971">
        <f ca="1">SUM(F27:F32)</f>
        <v>0</v>
      </c>
      <c r="G33" s="23"/>
      <c r="H33" s="19"/>
      <c r="I33" s="19"/>
      <c r="J33" s="969" t="s">
        <v>79</v>
      </c>
      <c r="K33" s="970">
        <f>SUM(K27:K32)</f>
        <v>12</v>
      </c>
      <c r="L33" s="971">
        <f>SUM(L27:L32)</f>
        <v>0</v>
      </c>
      <c r="M33" s="23"/>
      <c r="N33" s="23"/>
      <c r="O33" s="23"/>
      <c r="P33" s="23"/>
      <c r="Q33" s="23"/>
      <c r="R33" s="23"/>
      <c r="S33" s="23"/>
      <c r="T33" s="23"/>
      <c r="U33" s="23"/>
      <c r="V33" s="23"/>
      <c r="W33" s="37"/>
    </row>
    <row r="34" spans="1:23" ht="24" customHeight="1" x14ac:dyDescent="0.25">
      <c r="A34" s="20"/>
      <c r="B34" s="20"/>
      <c r="C34" s="20"/>
      <c r="D34" s="20"/>
      <c r="E34" s="20"/>
      <c r="F34" s="20"/>
      <c r="G34" s="20"/>
      <c r="H34" s="20"/>
      <c r="I34" s="23"/>
      <c r="J34" s="23"/>
      <c r="K34" s="23"/>
      <c r="L34" s="23"/>
      <c r="M34" s="23"/>
      <c r="N34" s="19"/>
      <c r="O34" s="19"/>
      <c r="P34" s="19"/>
      <c r="Q34" s="19"/>
      <c r="R34" s="19"/>
      <c r="S34" s="19"/>
      <c r="T34" s="19"/>
      <c r="U34" s="19"/>
      <c r="V34" s="19"/>
      <c r="W34" s="37"/>
    </row>
    <row r="35" spans="1:23" ht="24.75" customHeight="1" x14ac:dyDescent="0.25">
      <c r="A35" s="20"/>
      <c r="B35" s="1541" t="s">
        <v>150</v>
      </c>
      <c r="C35" s="1542"/>
      <c r="D35" s="1542"/>
      <c r="E35" s="998" t="s">
        <v>209</v>
      </c>
      <c r="F35" s="999" t="s">
        <v>493</v>
      </c>
      <c r="G35" s="23"/>
      <c r="H35" s="23"/>
      <c r="I35" s="23"/>
      <c r="J35" s="23"/>
      <c r="K35" s="23"/>
      <c r="L35" s="23"/>
      <c r="M35" s="23"/>
      <c r="N35" s="19"/>
      <c r="O35" s="19"/>
      <c r="P35" s="19"/>
      <c r="Q35" s="19"/>
      <c r="R35" s="19"/>
      <c r="S35" s="19"/>
      <c r="T35" s="19"/>
      <c r="U35" s="19"/>
      <c r="V35" s="19"/>
      <c r="W35" s="37"/>
    </row>
    <row r="36" spans="1:23" ht="21.75" customHeight="1" x14ac:dyDescent="0.25">
      <c r="A36" s="19"/>
      <c r="B36" s="977" t="s">
        <v>102</v>
      </c>
      <c r="C36" s="1518" t="s">
        <v>688</v>
      </c>
      <c r="D36" s="1518"/>
      <c r="E36" s="1532">
        <v>4</v>
      </c>
      <c r="F36" s="965">
        <f>Innovation!H6</f>
        <v>0</v>
      </c>
      <c r="G36" s="22"/>
      <c r="H36" s="23"/>
      <c r="I36" s="23"/>
      <c r="J36" s="23"/>
      <c r="K36" s="23"/>
      <c r="L36" s="23"/>
      <c r="M36" s="23"/>
      <c r="N36" s="19"/>
      <c r="O36" s="19"/>
      <c r="P36" s="19"/>
      <c r="Q36" s="19"/>
      <c r="R36" s="19"/>
      <c r="S36" s="19"/>
      <c r="T36" s="19"/>
      <c r="U36" s="19"/>
      <c r="V36" s="19"/>
      <c r="W36" s="19"/>
    </row>
    <row r="37" spans="1:23" ht="16.5" customHeight="1" x14ac:dyDescent="0.25">
      <c r="A37" s="19"/>
      <c r="B37" s="966" t="s">
        <v>103</v>
      </c>
      <c r="C37" s="1523" t="s">
        <v>104</v>
      </c>
      <c r="D37" s="1523"/>
      <c r="E37" s="1540"/>
      <c r="F37" s="968">
        <f>Innovation!H7</f>
        <v>0</v>
      </c>
      <c r="G37" s="22"/>
      <c r="H37" s="23"/>
      <c r="I37" s="23"/>
      <c r="J37" s="23"/>
      <c r="K37" s="23"/>
      <c r="L37" s="23"/>
      <c r="M37" s="23"/>
      <c r="N37" s="19"/>
      <c r="O37" s="19"/>
      <c r="P37" s="19"/>
      <c r="Q37" s="19"/>
      <c r="R37" s="19"/>
      <c r="S37" s="19"/>
      <c r="T37" s="19"/>
      <c r="U37" s="19"/>
      <c r="V37" s="19"/>
      <c r="W37" s="19"/>
    </row>
    <row r="38" spans="1:23" ht="16.5" customHeight="1" x14ac:dyDescent="0.25">
      <c r="A38" s="19"/>
      <c r="B38" s="23"/>
      <c r="C38" s="23"/>
      <c r="D38" s="969" t="s">
        <v>79</v>
      </c>
      <c r="E38" s="970">
        <f>SUM(E36)</f>
        <v>4</v>
      </c>
      <c r="F38" s="971">
        <f>MIN(4,SUM(F36:F37))</f>
        <v>0</v>
      </c>
      <c r="G38" s="22"/>
      <c r="H38" s="23"/>
      <c r="I38" s="23"/>
      <c r="J38" s="23"/>
      <c r="K38" s="23"/>
      <c r="L38" s="23"/>
      <c r="M38" s="23"/>
      <c r="N38" s="19"/>
      <c r="O38" s="19"/>
      <c r="P38" s="19"/>
      <c r="Q38" s="19"/>
      <c r="R38" s="19"/>
      <c r="S38" s="19"/>
      <c r="T38" s="19"/>
      <c r="U38" s="19"/>
      <c r="V38" s="19"/>
      <c r="W38" s="19"/>
    </row>
    <row r="39" spans="1:23" ht="16.5" customHeight="1" x14ac:dyDescent="0.25">
      <c r="A39" s="19"/>
      <c r="B39" s="21"/>
      <c r="C39" s="22"/>
      <c r="D39" s="22"/>
      <c r="E39" s="22"/>
      <c r="F39" s="22"/>
      <c r="G39" s="22"/>
      <c r="H39" s="24"/>
      <c r="I39" s="37"/>
      <c r="J39" s="24"/>
      <c r="K39" s="37"/>
      <c r="L39" s="37"/>
      <c r="M39" s="37"/>
      <c r="N39" s="19"/>
      <c r="O39" s="19"/>
      <c r="P39" s="19"/>
      <c r="Q39" s="19"/>
      <c r="R39" s="19"/>
      <c r="S39" s="19"/>
      <c r="T39" s="19"/>
      <c r="U39" s="19"/>
      <c r="V39" s="19"/>
      <c r="W39" s="19"/>
    </row>
    <row r="40" spans="1:23" ht="16.5" hidden="1" customHeight="1" x14ac:dyDescent="0.25">
      <c r="A40" s="19"/>
      <c r="B40" s="21"/>
      <c r="C40" s="22"/>
      <c r="D40" s="22"/>
      <c r="E40" s="22"/>
      <c r="F40" s="22"/>
      <c r="G40" s="22"/>
      <c r="H40" s="24"/>
      <c r="I40" s="37"/>
      <c r="J40" s="24"/>
      <c r="K40" s="37"/>
      <c r="L40" s="37"/>
      <c r="M40" s="37"/>
      <c r="N40" s="19"/>
      <c r="O40" s="19"/>
      <c r="P40" s="19"/>
      <c r="Q40" s="19"/>
      <c r="R40" s="19"/>
      <c r="S40" s="19"/>
      <c r="T40" s="19"/>
      <c r="U40" s="19"/>
      <c r="V40" s="19"/>
      <c r="W40" s="19"/>
    </row>
    <row r="41" spans="1:23" ht="16.5" hidden="1" customHeight="1" x14ac:dyDescent="0.25">
      <c r="A41" s="19"/>
      <c r="B41" s="21"/>
      <c r="C41" s="22"/>
      <c r="D41" s="22"/>
      <c r="E41" s="22"/>
      <c r="F41" s="22"/>
      <c r="G41" s="22"/>
      <c r="H41" s="24"/>
      <c r="I41" s="37"/>
      <c r="J41" s="24"/>
      <c r="K41" s="37"/>
      <c r="L41" s="37"/>
      <c r="M41" s="37"/>
      <c r="N41" s="19"/>
      <c r="O41" s="19"/>
      <c r="P41" s="19"/>
      <c r="Q41" s="19"/>
      <c r="R41" s="19"/>
      <c r="S41" s="19"/>
      <c r="T41" s="19"/>
      <c r="U41" s="19"/>
      <c r="V41" s="19"/>
      <c r="W41" s="19"/>
    </row>
    <row r="42" spans="1:23" ht="16.5" hidden="1" customHeight="1" x14ac:dyDescent="0.25">
      <c r="A42" s="19"/>
      <c r="B42" s="21"/>
      <c r="C42" s="22"/>
      <c r="D42" s="22"/>
      <c r="E42" s="22"/>
      <c r="F42" s="22"/>
      <c r="G42" s="22"/>
      <c r="H42" s="24"/>
      <c r="I42" s="37"/>
      <c r="J42" s="24"/>
      <c r="K42" s="37"/>
      <c r="L42" s="37"/>
      <c r="M42" s="37"/>
      <c r="N42" s="19"/>
      <c r="O42" s="19"/>
      <c r="P42" s="19"/>
      <c r="Q42" s="19"/>
      <c r="R42" s="19"/>
      <c r="S42" s="19"/>
      <c r="T42" s="19"/>
      <c r="U42" s="19"/>
      <c r="V42" s="19"/>
      <c r="W42" s="19"/>
    </row>
    <row r="43" spans="1:23" ht="16.5" hidden="1" customHeight="1" x14ac:dyDescent="0.25">
      <c r="A43" s="19"/>
      <c r="B43" s="21"/>
      <c r="C43" s="22"/>
      <c r="D43" s="22"/>
      <c r="E43" s="22"/>
      <c r="F43" s="22"/>
      <c r="G43" s="22"/>
      <c r="H43" s="24"/>
      <c r="I43" s="37"/>
      <c r="J43" s="24"/>
      <c r="K43" s="37"/>
      <c r="L43" s="37"/>
      <c r="M43" s="37"/>
      <c r="W43" s="19"/>
    </row>
    <row r="44" spans="1:23" ht="16.5" hidden="1" customHeight="1" x14ac:dyDescent="0.25">
      <c r="A44" s="19"/>
      <c r="B44" s="21"/>
      <c r="C44" s="22"/>
      <c r="D44" s="22"/>
      <c r="E44" s="22"/>
      <c r="F44" s="22"/>
      <c r="G44" s="22"/>
      <c r="H44" s="24"/>
      <c r="I44" s="37"/>
      <c r="J44" s="24"/>
      <c r="K44" s="37"/>
      <c r="L44" s="37"/>
      <c r="M44" s="37"/>
      <c r="W44" s="19"/>
    </row>
    <row r="45" spans="1:23" hidden="1" x14ac:dyDescent="0.25">
      <c r="A45" s="20"/>
      <c r="B45" s="19"/>
      <c r="C45" s="19"/>
      <c r="H45" s="24"/>
      <c r="I45" s="37"/>
      <c r="J45" s="24"/>
      <c r="K45" s="37"/>
      <c r="L45" s="37"/>
      <c r="M45" s="37"/>
    </row>
    <row r="46" spans="1:23" hidden="1" x14ac:dyDescent="0.25"/>
    <row r="47" spans="1:23" hidden="1" x14ac:dyDescent="0.25"/>
    <row r="48" spans="1:23" hidden="1" x14ac:dyDescent="0.25"/>
    <row r="49" hidden="1" x14ac:dyDescent="0.25"/>
    <row r="50" hidden="1" x14ac:dyDescent="0.25"/>
    <row r="51" hidden="1" x14ac:dyDescent="0.25"/>
    <row r="52" hidden="1" x14ac:dyDescent="0.25"/>
    <row r="53" hidden="1" x14ac:dyDescent="0.25"/>
    <row r="54" hidden="1" x14ac:dyDescent="0.25"/>
    <row r="55" hidden="1" x14ac:dyDescent="0.25"/>
  </sheetData>
  <sheetProtection algorithmName="SHA-512" hashValue="boEZbwN2DJXdr2PlrFtF9UDT6gGfGY0UE68sSB8h8hy9Qk/NQs2fHfH3393i/rwVvXOfkZm3/wZnT08rR85qdQ==" saltValue="19MHXUJ8vvK+eRD0GZwSHg==" spinCount="100000" sheet="1" objects="1" scenarios="1"/>
  <mergeCells count="58">
    <mergeCell ref="N1:V3"/>
    <mergeCell ref="B26:D26"/>
    <mergeCell ref="C29:D29"/>
    <mergeCell ref="E36:E37"/>
    <mergeCell ref="C37:D37"/>
    <mergeCell ref="I32:J32"/>
    <mergeCell ref="C36:D36"/>
    <mergeCell ref="C32:D32"/>
    <mergeCell ref="B35:D35"/>
    <mergeCell ref="C30:D30"/>
    <mergeCell ref="I27:J27"/>
    <mergeCell ref="N29:Q30"/>
    <mergeCell ref="S31:V32"/>
    <mergeCell ref="I29:J29"/>
    <mergeCell ref="C28:D28"/>
    <mergeCell ref="P32:Q32"/>
    <mergeCell ref="P31:Q31"/>
    <mergeCell ref="N31:O31"/>
    <mergeCell ref="C17:D17"/>
    <mergeCell ref="I17:J17"/>
    <mergeCell ref="C20:D20"/>
    <mergeCell ref="I23:J23"/>
    <mergeCell ref="I22:J22"/>
    <mergeCell ref="I20:J20"/>
    <mergeCell ref="I28:J28"/>
    <mergeCell ref="C19:D19"/>
    <mergeCell ref="I21:J21"/>
    <mergeCell ref="C18:D18"/>
    <mergeCell ref="I18:J18"/>
    <mergeCell ref="H26:J26"/>
    <mergeCell ref="I8:J8"/>
    <mergeCell ref="C9:D9"/>
    <mergeCell ref="I9:J9"/>
    <mergeCell ref="N32:O32"/>
    <mergeCell ref="B16:D16"/>
    <mergeCell ref="C27:D27"/>
    <mergeCell ref="I10:J10"/>
    <mergeCell ref="C10:D10"/>
    <mergeCell ref="C12:D12"/>
    <mergeCell ref="C31:D31"/>
    <mergeCell ref="K30:K31"/>
    <mergeCell ref="L30:L31"/>
    <mergeCell ref="A1:J3"/>
    <mergeCell ref="I30:J31"/>
    <mergeCell ref="H30:H31"/>
    <mergeCell ref="I19:J19"/>
    <mergeCell ref="S29:V30"/>
    <mergeCell ref="B5:D5"/>
    <mergeCell ref="I13:J13"/>
    <mergeCell ref="H5:J5"/>
    <mergeCell ref="I11:J11"/>
    <mergeCell ref="C6:D6"/>
    <mergeCell ref="C7:D7"/>
    <mergeCell ref="H16:J16"/>
    <mergeCell ref="I6:J6"/>
    <mergeCell ref="C8:D8"/>
    <mergeCell ref="C11:D11"/>
    <mergeCell ref="I12:J12"/>
  </mergeCells>
  <conditionalFormatting sqref="P32">
    <cfRule type="expression" dxfId="376" priority="417">
      <formula>$P32&gt;60</formula>
    </cfRule>
    <cfRule type="expression" dxfId="375" priority="418">
      <formula>AND($P32&lt;60,$P32&gt;51)</formula>
    </cfRule>
    <cfRule type="expression" dxfId="374" priority="419">
      <formula>AND($P32&lt;52,$P32&gt;43)</formula>
    </cfRule>
    <cfRule type="expression" dxfId="373" priority="420">
      <formula>$P32&lt;32</formula>
    </cfRule>
    <cfRule type="expression" dxfId="372" priority="421">
      <formula>AND($P32&lt;44,$P32&gt;31)</formula>
    </cfRule>
  </conditionalFormatting>
  <conditionalFormatting sqref="S31">
    <cfRule type="expression" dxfId="371" priority="432">
      <formula>$P32&gt;60</formula>
    </cfRule>
    <cfRule type="expression" dxfId="370" priority="433">
      <formula>AND($P32&lt;60,$P32&gt;51)</formula>
    </cfRule>
    <cfRule type="expression" dxfId="369" priority="434">
      <formula>AND($P32&lt;52,$P32&gt;43)</formula>
    </cfRule>
    <cfRule type="expression" dxfId="368" priority="435">
      <formula>$P32&lt;32</formula>
    </cfRule>
    <cfRule type="expression" dxfId="367" priority="436">
      <formula>AND($P32&lt;44,$P32&gt;31)</formula>
    </cfRule>
  </conditionalFormatting>
  <hyperlinks>
    <hyperlink ref="B16:D16" location="Water!K2" tooltip="Water" display="Water" xr:uid="{00000000-0004-0000-0900-000000000000}"/>
    <hyperlink ref="B26:D26" location="Materials!K2" tooltip="Materials" display="Materials" xr:uid="{00000000-0004-0000-0900-000001000000}"/>
    <hyperlink ref="H16:J16" location="'Health &amp; Comfort'!K2" tooltip="Health &amp; Comfort" display="Health &amp; Comfort" xr:uid="{00000000-0004-0000-0900-000002000000}"/>
    <hyperlink ref="H26:J26" location="'Community &amp; Management'!K2" tooltip="Community &amp; Management" display="Community &amp; Management" xr:uid="{00000000-0004-0000-0900-000003000000}"/>
    <hyperlink ref="B5:C5" location="Energy!A1" display="Energy" xr:uid="{00000000-0004-0000-0900-000004000000}"/>
    <hyperlink ref="H5:J5" location="'Local Environment'!K2" tooltip="Local Environment" display="Local Environment" xr:uid="{00000000-0004-0000-0900-000005000000}"/>
    <hyperlink ref="B35:D35" location="Innovation!K2" tooltip="Innovation" display="Innovation" xr:uid="{00000000-0004-0000-0900-000006000000}"/>
    <hyperlink ref="B5:D5" location="Energy!K2" tooltip="Energy" display="Energy" xr:uid="{00000000-0004-0000-0900-000007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9"/>
  <dimension ref="A1:V73"/>
  <sheetViews>
    <sheetView showRowColHeaders="0" zoomScale="97" zoomScaleNormal="97" workbookViewId="0">
      <pane ySplit="5" topLeftCell="A6" activePane="bottomLeft" state="frozen"/>
      <selection pane="bottomLeft" activeCell="A2" sqref="A2:L2"/>
    </sheetView>
  </sheetViews>
  <sheetFormatPr defaultColWidth="0" defaultRowHeight="15" zeroHeight="1" x14ac:dyDescent="0.25"/>
  <cols>
    <col min="1" max="12" width="11.42578125" customWidth="1"/>
    <col min="13" max="16384" width="11.42578125" hidden="1"/>
  </cols>
  <sheetData>
    <row r="1" spans="1:22" ht="33" customHeight="1" x14ac:dyDescent="0.25">
      <c r="A1" s="1549" t="s">
        <v>711</v>
      </c>
      <c r="B1" s="1549"/>
      <c r="C1" s="1549"/>
      <c r="D1" s="1549"/>
      <c r="E1" s="1549"/>
      <c r="F1" s="1549"/>
      <c r="G1" s="1549"/>
      <c r="H1" s="1549"/>
      <c r="I1" s="1549"/>
      <c r="J1" s="1549"/>
      <c r="K1" s="1549"/>
      <c r="L1" s="1549"/>
      <c r="M1" s="37"/>
      <c r="N1" s="37"/>
    </row>
    <row r="2" spans="1:22" ht="30" customHeight="1" x14ac:dyDescent="0.25">
      <c r="A2" s="1550" t="s">
        <v>2597</v>
      </c>
      <c r="B2" s="1550"/>
      <c r="C2" s="1550"/>
      <c r="D2" s="1550"/>
      <c r="E2" s="1550"/>
      <c r="F2" s="1550"/>
      <c r="G2" s="1550"/>
      <c r="H2" s="1550"/>
      <c r="I2" s="1550"/>
      <c r="J2" s="1550"/>
      <c r="K2" s="1550"/>
      <c r="L2" s="1550"/>
    </row>
    <row r="3" spans="1:22" hidden="1" x14ac:dyDescent="0.25">
      <c r="A3" s="11"/>
      <c r="B3" s="11"/>
      <c r="C3" s="11"/>
      <c r="D3" s="11"/>
      <c r="E3" s="11"/>
      <c r="F3" s="11"/>
      <c r="G3" s="11"/>
      <c r="H3" s="11"/>
      <c r="I3" s="11"/>
      <c r="J3" s="11"/>
      <c r="K3" s="11"/>
      <c r="L3" s="11"/>
    </row>
    <row r="4" spans="1:22" ht="12.75" hidden="1" customHeight="1" x14ac:dyDescent="0.25">
      <c r="A4" s="11"/>
      <c r="B4" s="11"/>
      <c r="C4" s="1544" t="s">
        <v>559</v>
      </c>
      <c r="D4" s="1545"/>
      <c r="E4" s="1545"/>
      <c r="F4" s="1545"/>
      <c r="G4" s="1548" t="str">
        <f ca="1">IF(N6&gt;59, "Platinum",IF(N6&gt;51,"Gold",IF(N6&gt;43,"Silver",IF(N6&gt;31,"Certified","Uncertified"))))</f>
        <v>Uncertified</v>
      </c>
      <c r="H4" s="1548"/>
      <c r="I4" s="1548"/>
      <c r="J4" s="11"/>
      <c r="K4" s="11"/>
      <c r="L4" s="11"/>
      <c r="M4" s="11"/>
    </row>
    <row r="5" spans="1:22" ht="12.75" hidden="1" customHeight="1" x14ac:dyDescent="0.25">
      <c r="A5" s="11"/>
      <c r="B5" s="11"/>
      <c r="C5" s="1546"/>
      <c r="D5" s="1547"/>
      <c r="E5" s="1547"/>
      <c r="F5" s="1547"/>
      <c r="G5" s="1548"/>
      <c r="H5" s="1548"/>
      <c r="I5" s="1548"/>
      <c r="J5" s="11"/>
      <c r="K5" s="11"/>
      <c r="L5" s="11"/>
      <c r="M5" s="11"/>
    </row>
    <row r="6" spans="1:22" x14ac:dyDescent="0.25">
      <c r="A6" s="11"/>
      <c r="B6" s="11"/>
      <c r="C6" s="11"/>
      <c r="D6" s="11"/>
      <c r="E6" s="11"/>
      <c r="F6" s="11"/>
      <c r="G6" s="11"/>
      <c r="H6" s="11"/>
      <c r="I6" s="11"/>
      <c r="J6" s="11"/>
      <c r="K6" s="11"/>
      <c r="L6" s="11"/>
      <c r="N6">
        <f ca="1">Scorecard!P32</f>
        <v>0</v>
      </c>
      <c r="O6">
        <v>31</v>
      </c>
      <c r="P6" t="s">
        <v>483</v>
      </c>
      <c r="R6" t="s">
        <v>54</v>
      </c>
      <c r="S6">
        <f>V6-T6</f>
        <v>28</v>
      </c>
      <c r="T6">
        <f>Scorecard!F13</f>
        <v>0</v>
      </c>
      <c r="U6">
        <f>S6</f>
        <v>28</v>
      </c>
      <c r="V6">
        <f>Scorecard!E13</f>
        <v>28</v>
      </c>
    </row>
    <row r="7" spans="1:22" x14ac:dyDescent="0.25">
      <c r="A7" s="11"/>
      <c r="B7" s="11"/>
      <c r="C7" s="11"/>
      <c r="D7" s="11"/>
      <c r="E7" s="11"/>
      <c r="F7" s="11"/>
      <c r="G7" s="11"/>
      <c r="H7" s="11"/>
      <c r="I7" s="11"/>
      <c r="J7" s="11"/>
      <c r="K7" s="11"/>
      <c r="L7" s="11"/>
      <c r="N7">
        <f ca="1">Scorecard!P31-N6</f>
        <v>100</v>
      </c>
      <c r="O7">
        <f>43-O6</f>
        <v>12</v>
      </c>
      <c r="P7" t="s">
        <v>484</v>
      </c>
      <c r="R7" t="s">
        <v>31</v>
      </c>
      <c r="S7">
        <f t="shared" ref="S7:S12" si="0">V7-T7</f>
        <v>11</v>
      </c>
      <c r="T7">
        <f>Scorecard!F21</f>
        <v>0</v>
      </c>
      <c r="U7">
        <f t="shared" ref="U7:U12" si="1">S7</f>
        <v>11</v>
      </c>
      <c r="V7">
        <f>Scorecard!E21</f>
        <v>11</v>
      </c>
    </row>
    <row r="8" spans="1:22" x14ac:dyDescent="0.25">
      <c r="A8" s="11"/>
      <c r="B8" s="11"/>
      <c r="C8" s="11"/>
      <c r="D8" s="11"/>
      <c r="E8" s="11"/>
      <c r="F8" s="11"/>
      <c r="G8" s="11"/>
      <c r="H8" s="11"/>
      <c r="I8" s="11"/>
      <c r="J8" s="11"/>
      <c r="K8" s="11"/>
      <c r="L8" s="11"/>
      <c r="N8">
        <f>Scorecard!P31</f>
        <v>100</v>
      </c>
      <c r="O8">
        <f>51-43</f>
        <v>8</v>
      </c>
      <c r="P8" t="s">
        <v>485</v>
      </c>
      <c r="R8" t="s">
        <v>196</v>
      </c>
      <c r="S8">
        <f t="shared" ca="1" si="0"/>
        <v>14</v>
      </c>
      <c r="T8">
        <f ca="1">Scorecard!F33</f>
        <v>0</v>
      </c>
      <c r="U8">
        <f t="shared" ca="1" si="1"/>
        <v>14</v>
      </c>
      <c r="V8">
        <f>Scorecard!E33</f>
        <v>14</v>
      </c>
    </row>
    <row r="9" spans="1:22" x14ac:dyDescent="0.25">
      <c r="A9" s="11"/>
      <c r="B9" s="11"/>
      <c r="C9" s="11"/>
      <c r="D9" s="11"/>
      <c r="E9" s="11"/>
      <c r="F9" s="11"/>
      <c r="G9" s="11"/>
      <c r="H9" s="11"/>
      <c r="I9" s="11"/>
      <c r="J9" s="11"/>
      <c r="K9" s="11"/>
      <c r="L9" s="11"/>
      <c r="O9">
        <f>59-51</f>
        <v>8</v>
      </c>
      <c r="P9" t="s">
        <v>486</v>
      </c>
      <c r="R9" t="s">
        <v>489</v>
      </c>
      <c r="S9">
        <f t="shared" si="0"/>
        <v>15</v>
      </c>
      <c r="T9">
        <f>Scorecard!L24</f>
        <v>0</v>
      </c>
      <c r="U9">
        <f t="shared" si="1"/>
        <v>15</v>
      </c>
      <c r="V9">
        <f>Scorecard!K24</f>
        <v>15</v>
      </c>
    </row>
    <row r="10" spans="1:22" x14ac:dyDescent="0.25">
      <c r="A10" s="11"/>
      <c r="B10" s="11"/>
      <c r="C10" s="11"/>
      <c r="D10" s="11"/>
      <c r="E10" s="11"/>
      <c r="F10" s="11"/>
      <c r="G10" s="11"/>
      <c r="H10" s="11"/>
      <c r="I10" s="11"/>
      <c r="J10" s="11"/>
      <c r="K10" s="11"/>
      <c r="L10" s="11"/>
      <c r="O10">
        <v>40</v>
      </c>
      <c r="P10" t="s">
        <v>487</v>
      </c>
      <c r="R10" t="s">
        <v>490</v>
      </c>
      <c r="S10">
        <f t="shared" si="0"/>
        <v>16</v>
      </c>
      <c r="T10">
        <f>Scorecard!L14</f>
        <v>0</v>
      </c>
      <c r="U10">
        <f t="shared" si="1"/>
        <v>16</v>
      </c>
      <c r="V10">
        <f>Scorecard!K14</f>
        <v>16</v>
      </c>
    </row>
    <row r="11" spans="1:22" x14ac:dyDescent="0.25">
      <c r="A11" s="11"/>
      <c r="B11" s="11"/>
      <c r="C11" s="11"/>
      <c r="D11" s="11"/>
      <c r="E11" s="11"/>
      <c r="F11" s="11"/>
      <c r="G11" s="11"/>
      <c r="H11" s="11"/>
      <c r="I11" s="11"/>
      <c r="J11" s="11"/>
      <c r="K11" s="11"/>
      <c r="L11" s="11"/>
      <c r="R11" t="s">
        <v>491</v>
      </c>
      <c r="S11">
        <f t="shared" si="0"/>
        <v>12</v>
      </c>
      <c r="T11">
        <f>Scorecard!L33</f>
        <v>0</v>
      </c>
      <c r="U11">
        <f t="shared" si="1"/>
        <v>12</v>
      </c>
      <c r="V11">
        <f>Scorecard!K33</f>
        <v>12</v>
      </c>
    </row>
    <row r="12" spans="1:22" x14ac:dyDescent="0.25">
      <c r="A12" s="11"/>
      <c r="B12" s="11"/>
      <c r="C12" s="11"/>
      <c r="D12" s="11"/>
      <c r="E12" s="11"/>
      <c r="F12" s="11"/>
      <c r="G12" s="11"/>
      <c r="H12" s="11"/>
      <c r="I12" s="11"/>
      <c r="J12" s="11"/>
      <c r="K12" s="11"/>
      <c r="L12" s="11"/>
      <c r="R12" t="s">
        <v>150</v>
      </c>
      <c r="S12">
        <f t="shared" si="0"/>
        <v>4</v>
      </c>
      <c r="T12">
        <f>Scorecard!F38</f>
        <v>0</v>
      </c>
      <c r="U12">
        <f t="shared" si="1"/>
        <v>4</v>
      </c>
      <c r="V12">
        <f>Scorecard!E38</f>
        <v>4</v>
      </c>
    </row>
    <row r="13" spans="1:22" x14ac:dyDescent="0.25">
      <c r="A13" s="11"/>
      <c r="B13" s="11"/>
      <c r="C13" s="11"/>
      <c r="D13" s="11"/>
      <c r="E13" s="11"/>
      <c r="F13" s="11"/>
      <c r="G13" s="11"/>
      <c r="H13" s="11"/>
      <c r="I13" s="11"/>
      <c r="J13" s="11"/>
      <c r="K13" s="11"/>
      <c r="L13" s="11"/>
      <c r="O13">
        <f ca="1">MAX(0,N6-0.25)</f>
        <v>0</v>
      </c>
    </row>
    <row r="14" spans="1:22" x14ac:dyDescent="0.25">
      <c r="A14" s="11"/>
      <c r="B14" s="11"/>
      <c r="C14" s="11"/>
      <c r="D14" s="11"/>
      <c r="E14" s="11"/>
      <c r="F14" s="11"/>
      <c r="G14" s="11"/>
      <c r="H14" s="11"/>
      <c r="I14" s="11"/>
      <c r="J14" s="11"/>
      <c r="K14" s="11"/>
      <c r="L14" s="11"/>
      <c r="O14">
        <v>0.5</v>
      </c>
      <c r="R14" t="s">
        <v>54</v>
      </c>
      <c r="S14" s="183">
        <f>T6/V6</f>
        <v>0</v>
      </c>
    </row>
    <row r="15" spans="1:22" x14ac:dyDescent="0.25">
      <c r="A15" s="11"/>
      <c r="B15" s="11"/>
      <c r="C15" s="11"/>
      <c r="D15" s="11"/>
      <c r="E15" s="11"/>
      <c r="F15" s="11"/>
      <c r="G15" s="11"/>
      <c r="H15" s="11"/>
      <c r="I15" s="11"/>
      <c r="J15" s="11"/>
      <c r="K15" s="11"/>
      <c r="L15" s="11"/>
      <c r="O15">
        <f ca="1">N8-(O13+O14)</f>
        <v>99.5</v>
      </c>
      <c r="R15" t="s">
        <v>31</v>
      </c>
      <c r="S15" s="183">
        <f t="shared" ref="S15:S19" si="2">T7/V7</f>
        <v>0</v>
      </c>
    </row>
    <row r="16" spans="1:22" x14ac:dyDescent="0.25">
      <c r="A16" s="11"/>
      <c r="B16" s="11"/>
      <c r="C16" s="11"/>
      <c r="D16" s="11"/>
      <c r="E16" s="11"/>
      <c r="F16" s="11"/>
      <c r="G16" s="11"/>
      <c r="H16" s="11"/>
      <c r="I16" s="11"/>
      <c r="J16" s="11"/>
      <c r="K16" s="11"/>
      <c r="L16" s="11"/>
      <c r="R16" t="s">
        <v>196</v>
      </c>
      <c r="S16" s="183">
        <f t="shared" ca="1" si="2"/>
        <v>0</v>
      </c>
    </row>
    <row r="17" spans="1:19" x14ac:dyDescent="0.25">
      <c r="A17" s="11"/>
      <c r="B17" s="11"/>
      <c r="C17" s="11"/>
      <c r="D17" s="11"/>
      <c r="E17" s="11"/>
      <c r="F17" s="11"/>
      <c r="G17" s="11"/>
      <c r="H17" s="11"/>
      <c r="I17" s="11"/>
      <c r="J17" s="11"/>
      <c r="K17" s="11"/>
      <c r="L17" s="11"/>
      <c r="R17" t="s">
        <v>489</v>
      </c>
      <c r="S17" s="183">
        <f t="shared" si="2"/>
        <v>0</v>
      </c>
    </row>
    <row r="18" spans="1:19" x14ac:dyDescent="0.25">
      <c r="A18" s="11"/>
      <c r="B18" s="11"/>
      <c r="C18" s="11"/>
      <c r="D18" s="11"/>
      <c r="E18" s="11"/>
      <c r="F18" s="11"/>
      <c r="G18" s="11"/>
      <c r="H18" s="11"/>
      <c r="I18" s="11"/>
      <c r="J18" s="11"/>
      <c r="K18" s="11"/>
      <c r="L18" s="11"/>
      <c r="R18" t="s">
        <v>490</v>
      </c>
      <c r="S18" s="183">
        <f t="shared" si="2"/>
        <v>0</v>
      </c>
    </row>
    <row r="19" spans="1:19" x14ac:dyDescent="0.25">
      <c r="A19" s="11"/>
      <c r="B19" s="11"/>
      <c r="C19" s="11"/>
      <c r="D19" s="11"/>
      <c r="E19" s="11"/>
      <c r="F19" s="11"/>
      <c r="G19" s="11"/>
      <c r="H19" s="11"/>
      <c r="I19" s="11"/>
      <c r="J19" s="11"/>
      <c r="K19" s="11"/>
      <c r="L19" s="11"/>
      <c r="R19" t="s">
        <v>491</v>
      </c>
      <c r="S19" s="183">
        <f t="shared" si="2"/>
        <v>0</v>
      </c>
    </row>
    <row r="20" spans="1:19" x14ac:dyDescent="0.25">
      <c r="A20" s="11"/>
      <c r="B20" s="11"/>
      <c r="C20" s="11"/>
      <c r="D20" s="11"/>
      <c r="E20" s="11"/>
      <c r="F20" s="11"/>
      <c r="G20" s="11"/>
      <c r="H20" s="11"/>
      <c r="I20" s="11"/>
      <c r="J20" s="11"/>
      <c r="K20" s="11"/>
      <c r="L20" s="11"/>
      <c r="R20" t="s">
        <v>150</v>
      </c>
      <c r="S20">
        <f t="shared" ref="S20" si="3">T12/S12</f>
        <v>0</v>
      </c>
    </row>
    <row r="21" spans="1:19" x14ac:dyDescent="0.25">
      <c r="A21" s="11"/>
      <c r="B21" s="11"/>
      <c r="C21" s="11"/>
      <c r="D21" s="11"/>
      <c r="E21" s="11"/>
      <c r="F21" s="11"/>
      <c r="G21" s="11"/>
      <c r="H21" s="11"/>
      <c r="I21" s="11"/>
      <c r="J21" s="11"/>
      <c r="K21" s="11"/>
      <c r="L21" s="11"/>
    </row>
    <row r="22" spans="1:19" x14ac:dyDescent="0.25">
      <c r="A22" s="11"/>
      <c r="B22" s="11"/>
      <c r="C22" s="11"/>
      <c r="D22" s="11"/>
      <c r="E22" s="11"/>
      <c r="F22" s="11"/>
      <c r="G22" s="11"/>
      <c r="H22" s="11"/>
      <c r="I22" s="11"/>
      <c r="J22" s="11"/>
      <c r="K22" s="11"/>
      <c r="L22" s="11"/>
    </row>
    <row r="23" spans="1:19" x14ac:dyDescent="0.25">
      <c r="A23" s="11"/>
      <c r="B23" s="11"/>
      <c r="C23" s="11"/>
      <c r="D23" s="11"/>
      <c r="E23" s="11"/>
      <c r="F23" s="11"/>
      <c r="G23" s="11"/>
      <c r="H23" s="11"/>
      <c r="I23" s="11"/>
      <c r="J23" s="11"/>
      <c r="K23" s="11"/>
      <c r="L23" s="11"/>
    </row>
    <row r="24" spans="1:19" x14ac:dyDescent="0.25">
      <c r="A24" s="11"/>
      <c r="B24" s="11"/>
      <c r="C24" s="11"/>
      <c r="D24" s="11"/>
      <c r="E24" s="11"/>
      <c r="F24" s="11"/>
      <c r="G24" s="11"/>
      <c r="H24" s="11"/>
      <c r="I24" s="11"/>
      <c r="J24" s="11"/>
      <c r="K24" s="11"/>
      <c r="L24" s="11"/>
    </row>
    <row r="25" spans="1:19" x14ac:dyDescent="0.25">
      <c r="A25" s="11"/>
      <c r="B25" s="11"/>
      <c r="C25" s="11"/>
      <c r="D25" s="11"/>
      <c r="E25" s="11"/>
      <c r="F25" s="11"/>
      <c r="G25" s="11"/>
      <c r="H25" s="11"/>
      <c r="I25" s="11"/>
      <c r="J25" s="11"/>
      <c r="K25" s="11"/>
      <c r="L25" s="11"/>
    </row>
    <row r="26" spans="1:19" x14ac:dyDescent="0.25">
      <c r="A26" s="11"/>
      <c r="B26" s="11"/>
      <c r="C26" s="11"/>
      <c r="D26" s="11"/>
      <c r="E26" s="11"/>
      <c r="F26" s="11"/>
      <c r="G26" s="11"/>
      <c r="H26" s="11"/>
      <c r="I26" s="11"/>
      <c r="J26" s="11"/>
      <c r="K26" s="11"/>
      <c r="L26" s="11"/>
    </row>
    <row r="27" spans="1:19" x14ac:dyDescent="0.25">
      <c r="A27" s="11"/>
      <c r="B27" s="11"/>
      <c r="C27" s="11"/>
      <c r="D27" s="11"/>
      <c r="E27" s="11"/>
      <c r="F27" s="11"/>
      <c r="G27" s="11"/>
      <c r="H27" s="11"/>
      <c r="I27" s="11"/>
      <c r="J27" s="11"/>
      <c r="K27" s="11"/>
      <c r="L27" s="11"/>
    </row>
    <row r="28" spans="1:19" x14ac:dyDescent="0.25">
      <c r="A28" s="11"/>
      <c r="B28" s="11"/>
      <c r="C28" s="11"/>
      <c r="D28" s="11"/>
      <c r="E28" s="11"/>
      <c r="F28" s="11"/>
      <c r="G28" s="11"/>
      <c r="H28" s="11"/>
      <c r="I28" s="11"/>
      <c r="J28" s="11"/>
      <c r="K28" s="11"/>
      <c r="L28" s="11"/>
    </row>
    <row r="29" spans="1:19" x14ac:dyDescent="0.25">
      <c r="A29" s="11"/>
      <c r="B29" s="11"/>
      <c r="C29" s="11"/>
      <c r="D29" s="11"/>
      <c r="E29" s="11"/>
      <c r="F29" s="11"/>
      <c r="G29" s="11"/>
      <c r="H29" s="11"/>
      <c r="I29" s="11"/>
      <c r="J29" s="11"/>
      <c r="K29" s="11"/>
      <c r="L29" s="11"/>
    </row>
    <row r="30" spans="1:19" x14ac:dyDescent="0.25">
      <c r="A30" s="11"/>
      <c r="B30" s="11"/>
      <c r="C30" s="11"/>
      <c r="D30" s="11"/>
      <c r="E30" s="11"/>
      <c r="F30" s="11"/>
      <c r="G30" s="11"/>
      <c r="H30" s="11"/>
      <c r="I30" s="11"/>
      <c r="J30" s="11"/>
      <c r="K30" s="11"/>
      <c r="L30" s="11"/>
    </row>
    <row r="31" spans="1:19" x14ac:dyDescent="0.25">
      <c r="A31" s="11"/>
      <c r="B31" s="11"/>
      <c r="C31" s="11"/>
      <c r="D31" s="11"/>
      <c r="E31" s="11"/>
      <c r="F31" s="11"/>
      <c r="G31" s="11"/>
      <c r="H31" s="11"/>
      <c r="I31" s="11"/>
      <c r="J31" s="11"/>
      <c r="K31" s="11"/>
      <c r="L31" s="11"/>
    </row>
    <row r="32" spans="1:19" x14ac:dyDescent="0.25">
      <c r="A32" s="11"/>
      <c r="B32" s="11"/>
      <c r="C32" s="11"/>
      <c r="D32" s="11"/>
      <c r="E32" s="11"/>
      <c r="F32" s="11"/>
      <c r="G32" s="11"/>
      <c r="H32" s="11"/>
      <c r="I32" s="11"/>
      <c r="J32" s="11"/>
      <c r="K32" s="11"/>
      <c r="L32" s="11"/>
    </row>
    <row r="33" spans="1:12" x14ac:dyDescent="0.25">
      <c r="A33" s="11"/>
      <c r="B33" s="11"/>
      <c r="C33" s="11"/>
      <c r="D33" s="11"/>
      <c r="E33" s="11"/>
      <c r="F33" s="11"/>
      <c r="G33" s="11"/>
      <c r="H33" s="11"/>
      <c r="I33" s="11"/>
      <c r="J33" s="11"/>
      <c r="K33" s="11"/>
      <c r="L33" s="11"/>
    </row>
    <row r="34" spans="1:12" x14ac:dyDescent="0.25">
      <c r="A34" s="11"/>
      <c r="B34" s="11"/>
      <c r="C34" s="11"/>
      <c r="D34" s="11"/>
      <c r="E34" s="11"/>
      <c r="F34" s="11"/>
      <c r="G34" s="11"/>
      <c r="H34" s="11"/>
      <c r="I34" s="11"/>
      <c r="J34" s="11"/>
      <c r="K34" s="11"/>
      <c r="L34" s="11"/>
    </row>
    <row r="35" spans="1:12" x14ac:dyDescent="0.25">
      <c r="A35" s="11"/>
      <c r="B35" s="11"/>
      <c r="C35" s="11"/>
      <c r="D35" s="11"/>
      <c r="E35" s="11"/>
      <c r="F35" s="11"/>
      <c r="G35" s="11"/>
      <c r="H35" s="11"/>
      <c r="I35" s="11"/>
      <c r="J35" s="11"/>
      <c r="K35" s="11"/>
      <c r="L35" s="11"/>
    </row>
    <row r="36" spans="1:12" x14ac:dyDescent="0.25">
      <c r="A36" s="11"/>
      <c r="B36" s="11"/>
      <c r="C36" s="11"/>
      <c r="D36" s="11"/>
      <c r="E36" s="11"/>
      <c r="F36" s="11"/>
      <c r="G36" s="11"/>
      <c r="H36" s="11"/>
      <c r="I36" s="11"/>
      <c r="J36" s="11"/>
      <c r="K36" s="11"/>
      <c r="L36" s="11"/>
    </row>
    <row r="37" spans="1:12" x14ac:dyDescent="0.25">
      <c r="A37" s="11"/>
      <c r="B37" s="11"/>
      <c r="C37" s="11"/>
      <c r="D37" s="11"/>
      <c r="E37" s="11"/>
      <c r="F37" s="11"/>
      <c r="G37" s="11"/>
      <c r="H37" s="11"/>
      <c r="I37" s="11"/>
      <c r="J37" s="11"/>
      <c r="K37" s="11"/>
      <c r="L37" s="11"/>
    </row>
    <row r="38" spans="1:12" x14ac:dyDescent="0.25">
      <c r="A38" s="11"/>
      <c r="B38" s="11"/>
      <c r="C38" s="11"/>
      <c r="D38" s="11"/>
      <c r="E38" s="11"/>
      <c r="F38" s="11"/>
      <c r="G38" s="11"/>
      <c r="H38" s="11"/>
      <c r="I38" s="11"/>
      <c r="J38" s="11"/>
      <c r="K38" s="11"/>
      <c r="L38" s="11"/>
    </row>
    <row r="39" spans="1:12" x14ac:dyDescent="0.25">
      <c r="A39" s="11"/>
      <c r="B39" s="11"/>
      <c r="C39" s="11"/>
      <c r="D39" s="11"/>
      <c r="E39" s="11"/>
      <c r="F39" s="11"/>
      <c r="G39" s="11"/>
      <c r="H39" s="11"/>
      <c r="I39" s="11"/>
      <c r="J39" s="11"/>
      <c r="K39" s="11"/>
      <c r="L39" s="11"/>
    </row>
    <row r="40" spans="1:12" x14ac:dyDescent="0.25">
      <c r="A40" s="11"/>
      <c r="B40" s="11"/>
      <c r="C40" s="11"/>
      <c r="D40" s="11"/>
      <c r="E40" s="11"/>
      <c r="F40" s="11"/>
      <c r="G40" s="11"/>
      <c r="H40" s="11"/>
      <c r="I40" s="11"/>
      <c r="J40" s="11"/>
      <c r="K40" s="11"/>
      <c r="L40" s="11"/>
    </row>
    <row r="41" spans="1:12" x14ac:dyDescent="0.25">
      <c r="A41" s="11"/>
      <c r="B41" s="11"/>
      <c r="C41" s="11"/>
      <c r="D41" s="11"/>
      <c r="E41" s="11"/>
      <c r="F41" s="11"/>
      <c r="G41" s="11"/>
      <c r="H41" s="11"/>
      <c r="I41" s="11"/>
      <c r="J41" s="11"/>
      <c r="K41" s="11"/>
      <c r="L41" s="11"/>
    </row>
    <row r="42" spans="1:12" hidden="1" x14ac:dyDescent="0.25">
      <c r="A42" s="11"/>
      <c r="B42" s="11"/>
      <c r="C42" s="11"/>
      <c r="D42" s="11"/>
      <c r="E42" s="11"/>
      <c r="F42" s="11"/>
      <c r="G42" s="11"/>
      <c r="H42" s="11"/>
      <c r="I42" s="11"/>
      <c r="J42" s="11"/>
      <c r="K42" s="11"/>
      <c r="L42" s="11"/>
    </row>
    <row r="43" spans="1:12" hidden="1" x14ac:dyDescent="0.25">
      <c r="A43" s="11"/>
      <c r="B43" s="11"/>
      <c r="C43" s="11"/>
      <c r="D43" s="11"/>
      <c r="E43" s="11"/>
      <c r="F43" s="11"/>
      <c r="G43" s="11"/>
      <c r="H43" s="11"/>
      <c r="I43" s="11"/>
      <c r="J43" s="11"/>
      <c r="K43" s="11"/>
      <c r="L43" s="11"/>
    </row>
    <row r="44" spans="1:12" hidden="1" x14ac:dyDescent="0.25">
      <c r="A44" s="11"/>
      <c r="B44" s="11"/>
      <c r="C44" s="11"/>
      <c r="D44" s="11"/>
      <c r="E44" s="11"/>
      <c r="F44" s="11"/>
      <c r="G44" s="11"/>
      <c r="H44" s="11"/>
      <c r="I44" s="11"/>
      <c r="J44" s="11"/>
      <c r="K44" s="11"/>
      <c r="L44" s="11"/>
    </row>
    <row r="45" spans="1:12" hidden="1" x14ac:dyDescent="0.25">
      <c r="A45" s="11"/>
      <c r="B45" s="11"/>
      <c r="C45" s="11"/>
      <c r="D45" s="11"/>
      <c r="E45" s="11"/>
      <c r="F45" s="11"/>
      <c r="G45" s="11"/>
      <c r="H45" s="11"/>
      <c r="I45" s="11"/>
      <c r="J45" s="11"/>
      <c r="K45" s="11"/>
      <c r="L45" s="11"/>
    </row>
    <row r="46" spans="1:12" hidden="1" x14ac:dyDescent="0.25">
      <c r="A46" s="11"/>
      <c r="B46" s="11"/>
      <c r="C46" s="11"/>
      <c r="D46" s="11"/>
      <c r="E46" s="11"/>
      <c r="F46" s="11"/>
      <c r="G46" s="11"/>
      <c r="H46" s="11"/>
      <c r="I46" s="11"/>
      <c r="J46" s="11"/>
      <c r="K46" s="11"/>
      <c r="L46" s="11"/>
    </row>
    <row r="47" spans="1:12" hidden="1" x14ac:dyDescent="0.25">
      <c r="A47" s="11"/>
      <c r="B47" s="11"/>
      <c r="C47" s="11"/>
      <c r="D47" s="11"/>
      <c r="E47" s="11"/>
      <c r="F47" s="11"/>
      <c r="G47" s="11"/>
      <c r="H47" s="11"/>
      <c r="I47" s="11"/>
      <c r="J47" s="11"/>
      <c r="K47" s="11"/>
      <c r="L47" s="11"/>
    </row>
    <row r="48" spans="1:12" hidden="1" x14ac:dyDescent="0.25">
      <c r="A48" s="11"/>
      <c r="B48" s="11"/>
      <c r="C48" s="11"/>
      <c r="D48" s="11"/>
      <c r="E48" s="11"/>
      <c r="F48" s="11"/>
      <c r="G48" s="11"/>
      <c r="H48" s="11"/>
      <c r="I48" s="11"/>
      <c r="J48" s="11"/>
      <c r="K48" s="11"/>
      <c r="L48" s="11"/>
    </row>
    <row r="49" spans="1:12" hidden="1" x14ac:dyDescent="0.25">
      <c r="A49" s="11"/>
      <c r="B49" s="11"/>
      <c r="C49" s="11"/>
      <c r="D49" s="11"/>
      <c r="E49" s="11"/>
      <c r="F49" s="11"/>
      <c r="G49" s="11"/>
      <c r="H49" s="11"/>
      <c r="I49" s="11"/>
      <c r="J49" s="11"/>
      <c r="K49" s="11"/>
      <c r="L49" s="11"/>
    </row>
    <row r="50" spans="1:12" hidden="1" x14ac:dyDescent="0.25">
      <c r="A50" s="11"/>
      <c r="B50" s="11"/>
      <c r="C50" s="11"/>
      <c r="D50" s="11"/>
      <c r="E50" s="11"/>
      <c r="F50" s="11"/>
      <c r="G50" s="11"/>
      <c r="H50" s="11"/>
      <c r="I50" s="11"/>
      <c r="J50" s="11"/>
      <c r="K50" s="11"/>
      <c r="L50" s="11"/>
    </row>
    <row r="51" spans="1:12" hidden="1" x14ac:dyDescent="0.25">
      <c r="A51" s="11"/>
      <c r="B51" s="11"/>
      <c r="C51" s="11"/>
      <c r="D51" s="11"/>
      <c r="E51" s="11"/>
      <c r="F51" s="11"/>
      <c r="G51" s="11"/>
      <c r="H51" s="11"/>
      <c r="I51" s="11"/>
      <c r="J51" s="11"/>
      <c r="K51" s="11"/>
      <c r="L51" s="11"/>
    </row>
    <row r="52" spans="1:12" hidden="1" x14ac:dyDescent="0.25">
      <c r="A52" s="11"/>
      <c r="B52" s="11"/>
      <c r="C52" s="11"/>
      <c r="D52" s="11"/>
      <c r="E52" s="11"/>
      <c r="F52" s="11"/>
      <c r="G52" s="11"/>
      <c r="H52" s="11"/>
      <c r="I52" s="11"/>
      <c r="J52" s="11"/>
      <c r="K52" s="11"/>
      <c r="L52" s="11"/>
    </row>
    <row r="53" spans="1:12" hidden="1" x14ac:dyDescent="0.25">
      <c r="A53" s="11"/>
      <c r="B53" s="11"/>
      <c r="C53" s="11"/>
      <c r="D53" s="11"/>
      <c r="E53" s="11"/>
      <c r="F53" s="11"/>
      <c r="G53" s="11"/>
      <c r="H53" s="11"/>
      <c r="I53" s="11"/>
      <c r="J53" s="11"/>
      <c r="K53" s="11"/>
      <c r="L53" s="11"/>
    </row>
    <row r="54" spans="1:12" hidden="1" x14ac:dyDescent="0.25">
      <c r="A54" s="11"/>
      <c r="B54" s="11"/>
      <c r="C54" s="11"/>
      <c r="D54" s="11"/>
      <c r="E54" s="11"/>
      <c r="F54" s="11"/>
      <c r="G54" s="11"/>
      <c r="H54" s="11"/>
      <c r="I54" s="11"/>
      <c r="J54" s="11"/>
      <c r="K54" s="11"/>
      <c r="L54" s="11"/>
    </row>
    <row r="55" spans="1:12" hidden="1" x14ac:dyDescent="0.25">
      <c r="A55" s="11"/>
      <c r="B55" s="11"/>
      <c r="C55" s="11"/>
      <c r="D55" s="11"/>
      <c r="E55" s="11"/>
      <c r="F55" s="11"/>
      <c r="G55" s="11"/>
      <c r="H55" s="11"/>
      <c r="I55" s="11"/>
      <c r="J55" s="11"/>
      <c r="K55" s="11"/>
      <c r="L55" s="11"/>
    </row>
    <row r="56" spans="1:12" hidden="1" x14ac:dyDescent="0.25">
      <c r="A56" s="11"/>
      <c r="B56" s="11"/>
      <c r="C56" s="11"/>
      <c r="D56" s="11"/>
      <c r="E56" s="11"/>
      <c r="F56" s="11"/>
      <c r="G56" s="11"/>
      <c r="H56" s="11"/>
      <c r="I56" s="11"/>
      <c r="J56" s="11"/>
      <c r="K56" s="11"/>
      <c r="L56" s="11"/>
    </row>
    <row r="57" spans="1:12" hidden="1" x14ac:dyDescent="0.25">
      <c r="A57" s="11"/>
      <c r="B57" s="11"/>
      <c r="C57" s="11"/>
      <c r="D57" s="11"/>
      <c r="E57" s="11"/>
      <c r="F57" s="11"/>
      <c r="G57" s="11"/>
      <c r="H57" s="11"/>
      <c r="I57" s="11"/>
      <c r="J57" s="11"/>
      <c r="K57" s="11"/>
      <c r="L57" s="11"/>
    </row>
    <row r="58" spans="1:12" hidden="1" x14ac:dyDescent="0.25">
      <c r="A58" s="11"/>
      <c r="B58" s="11"/>
      <c r="C58" s="11"/>
      <c r="D58" s="11"/>
      <c r="E58" s="11"/>
      <c r="F58" s="11"/>
      <c r="G58" s="11"/>
      <c r="H58" s="11"/>
      <c r="I58" s="11"/>
      <c r="J58" s="11"/>
      <c r="K58" s="11"/>
      <c r="L58" s="11"/>
    </row>
    <row r="59" spans="1:12" hidden="1" x14ac:dyDescent="0.25">
      <c r="A59" s="11"/>
      <c r="B59" s="11"/>
      <c r="C59" s="11"/>
      <c r="D59" s="11"/>
      <c r="E59" s="11"/>
      <c r="F59" s="11"/>
      <c r="G59" s="11"/>
      <c r="H59" s="11"/>
      <c r="I59" s="11"/>
      <c r="J59" s="11"/>
      <c r="K59" s="11"/>
      <c r="L59" s="11"/>
    </row>
    <row r="60" spans="1:12" hidden="1" x14ac:dyDescent="0.25">
      <c r="A60" s="11"/>
      <c r="B60" s="11"/>
      <c r="C60" s="11"/>
      <c r="D60" s="11"/>
      <c r="E60" s="11"/>
      <c r="F60" s="11"/>
      <c r="G60" s="11"/>
      <c r="H60" s="11"/>
      <c r="I60" s="11"/>
      <c r="J60" s="11"/>
      <c r="K60" s="11"/>
      <c r="L60" s="11"/>
    </row>
    <row r="61" spans="1:12" hidden="1" x14ac:dyDescent="0.25">
      <c r="A61" s="11"/>
      <c r="B61" s="11"/>
      <c r="C61" s="11"/>
      <c r="D61" s="11"/>
      <c r="E61" s="11"/>
      <c r="F61" s="11"/>
      <c r="G61" s="11"/>
      <c r="H61" s="11"/>
      <c r="I61" s="11"/>
      <c r="J61" s="11"/>
      <c r="K61" s="11"/>
      <c r="L61" s="11"/>
    </row>
    <row r="62" spans="1:12" hidden="1" x14ac:dyDescent="0.25">
      <c r="A62" s="11"/>
      <c r="B62" s="11"/>
      <c r="C62" s="11"/>
      <c r="D62" s="11"/>
      <c r="E62" s="11"/>
      <c r="F62" s="11"/>
      <c r="G62" s="11"/>
      <c r="H62" s="11"/>
      <c r="I62" s="11"/>
      <c r="J62" s="11"/>
      <c r="K62" s="11"/>
      <c r="L62" s="11"/>
    </row>
    <row r="63" spans="1:12" hidden="1" x14ac:dyDescent="0.25">
      <c r="A63" s="11"/>
      <c r="B63" s="11"/>
      <c r="C63" s="11"/>
      <c r="D63" s="11"/>
      <c r="E63" s="11"/>
      <c r="F63" s="11"/>
      <c r="G63" s="11"/>
      <c r="H63" s="11"/>
      <c r="I63" s="11"/>
      <c r="J63" s="11"/>
      <c r="K63" s="11"/>
      <c r="L63" s="11"/>
    </row>
    <row r="64" spans="1:12" hidden="1" x14ac:dyDescent="0.25">
      <c r="A64" s="11"/>
      <c r="B64" s="11"/>
      <c r="C64" s="11"/>
      <c r="D64" s="11"/>
      <c r="E64" s="11"/>
      <c r="F64" s="11"/>
      <c r="G64" s="11"/>
      <c r="H64" s="11"/>
      <c r="I64" s="11"/>
      <c r="J64" s="11"/>
      <c r="K64" s="11"/>
      <c r="L64" s="11"/>
    </row>
    <row r="65" spans="1:12" hidden="1" x14ac:dyDescent="0.25">
      <c r="A65" s="11"/>
      <c r="B65" s="11"/>
      <c r="C65" s="11"/>
      <c r="D65" s="11"/>
      <c r="E65" s="11"/>
      <c r="F65" s="11"/>
      <c r="G65" s="11"/>
      <c r="H65" s="11"/>
      <c r="I65" s="11"/>
      <c r="J65" s="11"/>
      <c r="K65" s="11"/>
      <c r="L65" s="11"/>
    </row>
    <row r="66" spans="1:12" hidden="1" x14ac:dyDescent="0.25">
      <c r="A66" s="11"/>
      <c r="B66" s="11"/>
      <c r="C66" s="11"/>
      <c r="D66" s="11"/>
      <c r="E66" s="11"/>
      <c r="F66" s="11"/>
      <c r="G66" s="11"/>
      <c r="H66" s="11"/>
      <c r="I66" s="11"/>
      <c r="J66" s="11"/>
      <c r="K66" s="11"/>
      <c r="L66" s="11"/>
    </row>
    <row r="67" spans="1:12" hidden="1" x14ac:dyDescent="0.25">
      <c r="A67" s="11"/>
      <c r="B67" s="11"/>
      <c r="C67" s="11"/>
      <c r="D67" s="11"/>
      <c r="E67" s="11"/>
      <c r="F67" s="11"/>
      <c r="G67" s="11"/>
      <c r="H67" s="11"/>
      <c r="I67" s="11"/>
      <c r="J67" s="11"/>
      <c r="K67" s="11"/>
      <c r="L67" s="11"/>
    </row>
    <row r="68" spans="1:12" hidden="1" x14ac:dyDescent="0.25">
      <c r="A68" s="11"/>
      <c r="B68" s="11"/>
      <c r="C68" s="11"/>
      <c r="D68" s="11"/>
      <c r="E68" s="11"/>
      <c r="F68" s="11"/>
      <c r="G68" s="11"/>
      <c r="H68" s="11"/>
      <c r="I68" s="11"/>
      <c r="J68" s="11"/>
      <c r="K68" s="11"/>
      <c r="L68" s="11"/>
    </row>
    <row r="69" spans="1:12" hidden="1" x14ac:dyDescent="0.25">
      <c r="A69" s="11"/>
      <c r="B69" s="11"/>
      <c r="C69" s="11"/>
      <c r="D69" s="11"/>
      <c r="E69" s="11"/>
      <c r="F69" s="11"/>
      <c r="G69" s="11"/>
      <c r="H69" s="11"/>
      <c r="I69" s="11"/>
      <c r="J69" s="11"/>
      <c r="K69" s="11"/>
      <c r="L69" s="11"/>
    </row>
    <row r="70" spans="1:12" hidden="1" x14ac:dyDescent="0.25">
      <c r="A70" s="11"/>
      <c r="B70" s="11"/>
      <c r="C70" s="11"/>
      <c r="D70" s="11"/>
      <c r="E70" s="11"/>
      <c r="F70" s="11"/>
      <c r="G70" s="11"/>
      <c r="H70" s="11"/>
      <c r="I70" s="11"/>
      <c r="J70" s="11"/>
      <c r="K70" s="11"/>
      <c r="L70" s="11"/>
    </row>
    <row r="71" spans="1:12" hidden="1" x14ac:dyDescent="0.25">
      <c r="A71" s="11"/>
      <c r="B71" s="11"/>
      <c r="C71" s="11"/>
      <c r="D71" s="11"/>
      <c r="E71" s="11"/>
      <c r="F71" s="11"/>
      <c r="G71" s="11"/>
      <c r="H71" s="11"/>
      <c r="I71" s="11"/>
      <c r="J71" s="11"/>
      <c r="K71" s="11"/>
      <c r="L71" s="11"/>
    </row>
    <row r="72" spans="1:12" hidden="1" x14ac:dyDescent="0.25">
      <c r="A72" s="11"/>
      <c r="B72" s="11"/>
      <c r="C72" s="11"/>
      <c r="D72" s="11"/>
      <c r="E72" s="11"/>
      <c r="F72" s="11"/>
      <c r="G72" s="11"/>
      <c r="H72" s="11"/>
      <c r="I72" s="11"/>
      <c r="J72" s="11"/>
      <c r="K72" s="11"/>
      <c r="L72" s="11"/>
    </row>
    <row r="73" spans="1:12" hidden="1" x14ac:dyDescent="0.25"/>
  </sheetData>
  <sheetProtection algorithmName="SHA-512" hashValue="HOZmWzizmxsK87HhccXLwxce3BKsdyGFOmJkOu2rKK2ltDsfOrB6CLklZyWElUSPOxBWSMSRyyPnMBAKee78ow==" saltValue="IebBwoT4ydW/rK/uFM3N9g==" spinCount="100000" sheet="1" objects="1" scenarios="1"/>
  <mergeCells count="4">
    <mergeCell ref="C4:F5"/>
    <mergeCell ref="G4:I5"/>
    <mergeCell ref="A1:L1"/>
    <mergeCell ref="A2:L2"/>
  </mergeCells>
  <conditionalFormatting sqref="G4">
    <cfRule type="expression" dxfId="366" priority="2">
      <formula>$N$6&gt;60</formula>
    </cfRule>
    <cfRule type="expression" dxfId="365" priority="3">
      <formula>AND($N$6&lt;60,$N$6&gt;51)</formula>
    </cfRule>
    <cfRule type="expression" dxfId="364" priority="4">
      <formula>AND($N$6&lt;52,$N$6&gt;43)</formula>
    </cfRule>
    <cfRule type="expression" dxfId="363" priority="5">
      <formula>$N$6&lt;32</formula>
    </cfRule>
    <cfRule type="expression" dxfId="362" priority="6">
      <formula>AND($N$6&lt;44,$N$6&gt;31)</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58B527"/>
  </sheetPr>
  <dimension ref="A1:Q56"/>
  <sheetViews>
    <sheetView showRowColHeaders="0" zoomScale="90" zoomScaleNormal="90" workbookViewId="0">
      <selection activeCell="E7" sqref="E7:F7"/>
    </sheetView>
  </sheetViews>
  <sheetFormatPr defaultColWidth="0" defaultRowHeight="0" customHeight="1" zeroHeight="1" x14ac:dyDescent="0.25"/>
  <cols>
    <col min="1" max="1" width="4.7109375" customWidth="1"/>
    <col min="2" max="2" width="30.5703125" customWidth="1"/>
    <col min="3" max="3" width="4.7109375" customWidth="1"/>
    <col min="4" max="4" width="10.7109375" customWidth="1"/>
    <col min="5" max="6" width="20.5703125" customWidth="1"/>
    <col min="7" max="8" width="19.7109375" customWidth="1"/>
    <col min="9" max="9" width="10.28515625" customWidth="1"/>
    <col min="10" max="10" width="8" customWidth="1"/>
    <col min="11" max="11" width="4.28515625" customWidth="1"/>
    <col min="12" max="12" width="4.7109375" customWidth="1"/>
    <col min="13" max="17" width="0" hidden="1" customWidth="1"/>
    <col min="18" max="16384" width="9.140625" hidden="1"/>
  </cols>
  <sheetData>
    <row r="1" spans="1:12" ht="33.75" customHeight="1" x14ac:dyDescent="0.25">
      <c r="A1" s="323"/>
      <c r="B1" s="1555" t="s">
        <v>54</v>
      </c>
      <c r="C1" s="324"/>
      <c r="D1" s="311"/>
      <c r="E1" s="312"/>
      <c r="F1" s="312"/>
      <c r="G1" s="312"/>
      <c r="H1" s="312"/>
      <c r="I1" s="312"/>
      <c r="J1" s="312"/>
      <c r="K1" s="312"/>
      <c r="L1" s="313"/>
    </row>
    <row r="2" spans="1:12" ht="30.75" customHeight="1" x14ac:dyDescent="0.25">
      <c r="A2" s="325"/>
      <c r="B2" s="1556"/>
      <c r="C2" s="326"/>
      <c r="D2" s="314"/>
      <c r="E2" s="315"/>
      <c r="F2" s="315"/>
      <c r="G2" s="315"/>
      <c r="H2" s="315"/>
      <c r="I2" s="315"/>
      <c r="J2" s="315"/>
      <c r="K2" s="315"/>
      <c r="L2" s="316"/>
    </row>
    <row r="3" spans="1:12" ht="20.25" customHeight="1" x14ac:dyDescent="0.25">
      <c r="A3" s="325"/>
      <c r="B3" s="1556"/>
      <c r="C3" s="326"/>
      <c r="D3" s="314"/>
      <c r="E3" s="1557" t="s">
        <v>363</v>
      </c>
      <c r="F3" s="1558"/>
      <c r="G3" s="1551" t="s">
        <v>364</v>
      </c>
      <c r="H3" s="1551" t="s">
        <v>53</v>
      </c>
      <c r="I3" s="315"/>
      <c r="J3" s="315"/>
      <c r="K3" s="315"/>
      <c r="L3" s="316"/>
    </row>
    <row r="4" spans="1:12" ht="15" customHeight="1" x14ac:dyDescent="0.25">
      <c r="A4" s="325"/>
      <c r="B4" s="1554" t="str">
        <f>IF(A1="","To monitor and reduce the energy consumption of a building through, for example, passive design, the use of natural ventilation and the installation of energy-efficient equipment (HVAC, lighting, appliances, etc.)","Để cải thiện và giám sát chặt chẽ việc sử dụng năng lượng trong một công trình qua việc nâng mức cách nhiệt, sử dụng thông gió tự nhiên và các thiết bị tiết kiệm điện (như thiết bị điều hòa, chiếu sang, đun nước nóng,…)")</f>
        <v>To monitor and reduce the energy consumption of a building through, for example, passive design, the use of natural ventilation and the installation of energy-efficient equipment (HVAC, lighting, appliances, etc.)</v>
      </c>
      <c r="C4" s="327"/>
      <c r="D4" s="314"/>
      <c r="E4" s="1559"/>
      <c r="F4" s="1560"/>
      <c r="G4" s="1551"/>
      <c r="H4" s="1551"/>
      <c r="I4" s="315"/>
      <c r="J4" s="315"/>
      <c r="K4" s="315"/>
      <c r="L4" s="316"/>
    </row>
    <row r="5" spans="1:12" ht="21.75" customHeight="1" x14ac:dyDescent="0.25">
      <c r="A5" s="325"/>
      <c r="B5" s="1554"/>
      <c r="C5" s="327"/>
      <c r="D5" s="314"/>
      <c r="E5" s="1552" t="s">
        <v>17</v>
      </c>
      <c r="F5" s="1553"/>
      <c r="G5" s="165">
        <v>5</v>
      </c>
      <c r="H5" s="165">
        <f>MIN(5,SUM('E-1 Passive Design'!G12:G14))</f>
        <v>0</v>
      </c>
      <c r="I5" s="315"/>
      <c r="J5" s="315"/>
      <c r="K5" s="315"/>
      <c r="L5" s="316"/>
    </row>
    <row r="6" spans="1:12" ht="21.75" customHeight="1" x14ac:dyDescent="0.25">
      <c r="A6" s="325"/>
      <c r="B6" s="1554"/>
      <c r="C6" s="327"/>
      <c r="D6" s="314"/>
      <c r="E6" s="1552" t="s">
        <v>18</v>
      </c>
      <c r="F6" s="1553"/>
      <c r="G6" s="165">
        <v>4</v>
      </c>
      <c r="H6" s="165">
        <f>SUM('E-2 Building Envelope'!G14:G17,'E-2 Building Envelope'!G21:G23)</f>
        <v>0</v>
      </c>
      <c r="I6" s="315"/>
      <c r="J6" s="315"/>
      <c r="K6" s="315"/>
      <c r="L6" s="316"/>
    </row>
    <row r="7" spans="1:12" ht="21.75" customHeight="1" x14ac:dyDescent="0.25">
      <c r="A7" s="325"/>
      <c r="B7" s="1554"/>
      <c r="C7" s="327"/>
      <c r="D7" s="314"/>
      <c r="E7" s="1552" t="s">
        <v>2216</v>
      </c>
      <c r="F7" s="1553"/>
      <c r="G7" s="165">
        <v>6</v>
      </c>
      <c r="H7" s="165">
        <f>MIN(6,'E-3 Building Cooling'!H18+'E-3 Building Cooling'!H31)</f>
        <v>0</v>
      </c>
      <c r="I7" s="315"/>
      <c r="J7" s="315"/>
      <c r="K7" s="315"/>
      <c r="L7" s="316"/>
    </row>
    <row r="8" spans="1:12" ht="21.75" customHeight="1" x14ac:dyDescent="0.25">
      <c r="A8" s="328"/>
      <c r="B8" s="1554"/>
      <c r="C8" s="327"/>
      <c r="D8" s="314"/>
      <c r="E8" s="1552" t="s">
        <v>21</v>
      </c>
      <c r="F8" s="1553"/>
      <c r="G8" s="165">
        <v>4</v>
      </c>
      <c r="H8" s="165">
        <f>'E-4 Artificial Lighting'!G19</f>
        <v>0</v>
      </c>
      <c r="I8" s="315"/>
      <c r="J8" s="315"/>
      <c r="K8" s="315"/>
      <c r="L8" s="316"/>
    </row>
    <row r="9" spans="1:12" ht="21.75" customHeight="1" x14ac:dyDescent="0.25">
      <c r="A9" s="328"/>
      <c r="B9" s="1554"/>
      <c r="C9" s="327"/>
      <c r="D9" s="314"/>
      <c r="E9" s="1552" t="s">
        <v>1786</v>
      </c>
      <c r="F9" s="1553"/>
      <c r="G9" s="165">
        <v>2</v>
      </c>
      <c r="H9" s="165">
        <f>'E-5 Energy Efficient Appliances'!G14</f>
        <v>0</v>
      </c>
      <c r="I9" s="315"/>
      <c r="J9" s="315"/>
      <c r="K9" s="315"/>
      <c r="L9" s="316"/>
    </row>
    <row r="10" spans="1:12" ht="21.75" customHeight="1" x14ac:dyDescent="0.25">
      <c r="A10" s="328"/>
      <c r="B10" s="1554"/>
      <c r="C10" s="327"/>
      <c r="D10" s="314"/>
      <c r="E10" s="1552" t="s">
        <v>2224</v>
      </c>
      <c r="F10" s="1553"/>
      <c r="G10" s="165">
        <v>1</v>
      </c>
      <c r="H10" s="165">
        <f>'E-6 Energy Monitor'!C40</f>
        <v>0</v>
      </c>
      <c r="I10" s="315"/>
      <c r="J10" s="315"/>
      <c r="K10" s="315"/>
      <c r="L10" s="316"/>
    </row>
    <row r="11" spans="1:12" ht="21.75" customHeight="1" x14ac:dyDescent="0.25">
      <c r="A11" s="328"/>
      <c r="B11" s="1554"/>
      <c r="C11" s="327"/>
      <c r="D11" s="314"/>
      <c r="E11" s="1552" t="s">
        <v>365</v>
      </c>
      <c r="F11" s="1553"/>
      <c r="G11" s="165">
        <v>6</v>
      </c>
      <c r="H11" s="165">
        <f>'Energy BPC'!G15</f>
        <v>0</v>
      </c>
      <c r="I11" s="315"/>
      <c r="J11" s="315"/>
      <c r="K11" s="315"/>
      <c r="L11" s="316"/>
    </row>
    <row r="12" spans="1:12" ht="23.25" customHeight="1" x14ac:dyDescent="0.25">
      <c r="A12" s="328"/>
      <c r="B12" s="329"/>
      <c r="C12" s="327"/>
      <c r="D12" s="314"/>
      <c r="E12" s="96" t="s">
        <v>79</v>
      </c>
      <c r="F12" s="97"/>
      <c r="G12" s="98">
        <f>SUM(G5:G11)</f>
        <v>28</v>
      </c>
      <c r="H12" s="98">
        <f>SUM(H5:H11)</f>
        <v>0</v>
      </c>
      <c r="I12" s="315"/>
      <c r="J12" s="315"/>
      <c r="K12" s="315"/>
      <c r="L12" s="316"/>
    </row>
    <row r="13" spans="1:12" ht="15" customHeight="1" x14ac:dyDescent="0.25">
      <c r="A13" s="328"/>
      <c r="B13" s="329"/>
      <c r="C13" s="327"/>
      <c r="D13" s="314"/>
      <c r="E13" s="315"/>
      <c r="F13" s="315"/>
      <c r="G13" s="315"/>
      <c r="H13" s="315"/>
      <c r="I13" s="315"/>
      <c r="J13" s="315"/>
      <c r="K13" s="315"/>
      <c r="L13" s="316"/>
    </row>
    <row r="14" spans="1:12" ht="15" customHeight="1" x14ac:dyDescent="0.25">
      <c r="A14" s="330"/>
      <c r="B14" s="331"/>
      <c r="C14" s="332"/>
      <c r="D14" s="317"/>
      <c r="E14" s="318"/>
      <c r="F14" s="318"/>
      <c r="G14" s="318"/>
      <c r="H14" s="318"/>
      <c r="I14" s="318"/>
      <c r="J14" s="318"/>
      <c r="K14" s="318"/>
      <c r="L14" s="319"/>
    </row>
    <row r="15" spans="1:12" ht="15" hidden="1" customHeight="1" x14ac:dyDescent="0.25">
      <c r="A15" s="95"/>
      <c r="B15" s="322"/>
      <c r="C15" s="170"/>
      <c r="D15" s="1"/>
      <c r="E15" s="1"/>
      <c r="F15" s="1"/>
      <c r="G15" s="1"/>
      <c r="H15" s="1"/>
      <c r="I15" s="1"/>
      <c r="J15" s="1"/>
      <c r="K15" s="1"/>
      <c r="L15" s="1"/>
    </row>
    <row r="16" spans="1:12" ht="15" hidden="1" customHeight="1" x14ac:dyDescent="0.25">
      <c r="A16" s="95"/>
      <c r="B16" s="322"/>
      <c r="C16" s="170"/>
      <c r="D16" s="1"/>
      <c r="E16" s="1"/>
      <c r="F16" s="1"/>
      <c r="G16" s="1"/>
      <c r="H16" s="1"/>
      <c r="I16" s="1"/>
      <c r="J16" s="1"/>
      <c r="K16" s="1"/>
      <c r="L16" s="1"/>
    </row>
    <row r="17" spans="1:12" ht="15" hidden="1" customHeight="1" x14ac:dyDescent="0.25">
      <c r="A17" s="95"/>
      <c r="B17" s="322"/>
      <c r="C17" s="170"/>
      <c r="D17" s="1"/>
      <c r="E17" s="1"/>
      <c r="F17" s="1"/>
      <c r="G17" s="1"/>
      <c r="H17" s="1"/>
      <c r="I17" s="1"/>
      <c r="J17" s="1"/>
      <c r="K17" s="1"/>
      <c r="L17" s="1"/>
    </row>
    <row r="18" spans="1:12" ht="15" hidden="1" customHeight="1" x14ac:dyDescent="0.25">
      <c r="A18" s="95"/>
      <c r="B18" s="322"/>
      <c r="C18" s="170"/>
      <c r="D18" s="1"/>
      <c r="E18" s="1"/>
      <c r="F18" s="1"/>
      <c r="G18" s="1"/>
      <c r="H18" s="1"/>
      <c r="I18" s="1"/>
      <c r="J18" s="1"/>
      <c r="K18" s="1"/>
      <c r="L18" s="1"/>
    </row>
    <row r="19" spans="1:12" ht="15" hidden="1" customHeight="1" x14ac:dyDescent="0.25">
      <c r="A19" s="95"/>
      <c r="B19" s="322"/>
      <c r="C19" s="170"/>
      <c r="D19" s="1"/>
      <c r="E19" s="1"/>
      <c r="F19" s="1"/>
      <c r="G19" s="1"/>
      <c r="H19" s="1"/>
      <c r="I19" s="1"/>
      <c r="J19" s="1"/>
      <c r="K19" s="1"/>
      <c r="L19" s="1"/>
    </row>
    <row r="20" spans="1:12" ht="15" hidden="1" customHeight="1" x14ac:dyDescent="0.25">
      <c r="A20" s="1"/>
      <c r="B20" s="2"/>
      <c r="C20" s="2"/>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E44" s="1"/>
      <c r="F44" s="1"/>
      <c r="G44" s="1"/>
      <c r="H44" s="1"/>
      <c r="I44" s="1"/>
      <c r="J44" s="1"/>
      <c r="K44" s="1"/>
      <c r="L44" s="1"/>
    </row>
    <row r="45" spans="1:12" ht="15" hidden="1" customHeight="1" x14ac:dyDescent="0.25">
      <c r="A45" s="1"/>
      <c r="B45" s="2"/>
      <c r="C45" s="2"/>
      <c r="D45" s="1"/>
      <c r="E45" s="1"/>
      <c r="F45" s="1"/>
      <c r="G45" s="1"/>
      <c r="H45" s="1"/>
      <c r="I45" s="1"/>
      <c r="J45" s="1"/>
      <c r="K45" s="1"/>
      <c r="L45" s="1"/>
    </row>
    <row r="46" spans="1:12" ht="15" hidden="1" customHeight="1" x14ac:dyDescent="0.25">
      <c r="D46" s="1"/>
      <c r="E46" s="1"/>
      <c r="F46" s="1"/>
      <c r="G46" s="1"/>
      <c r="H46" s="1"/>
      <c r="I46" s="1"/>
    </row>
    <row r="47" spans="1:12" ht="15" hidden="1" customHeight="1" x14ac:dyDescent="0.25">
      <c r="D47" s="1"/>
    </row>
    <row r="48" spans="1:12" ht="15" hidden="1" customHeight="1" x14ac:dyDescent="0.25">
      <c r="D48" s="1"/>
    </row>
    <row r="49" spans="4:4" ht="15" hidden="1" customHeight="1" x14ac:dyDescent="0.25">
      <c r="D49" s="1"/>
    </row>
    <row r="50" spans="4:4" ht="15" hidden="1" customHeight="1" x14ac:dyDescent="0.25"/>
    <row r="51" spans="4:4" ht="15" hidden="1" customHeight="1" x14ac:dyDescent="0.25"/>
    <row r="52" spans="4:4" ht="15" hidden="1" customHeight="1" x14ac:dyDescent="0.25"/>
    <row r="53" spans="4:4" ht="15" hidden="1" customHeight="1" x14ac:dyDescent="0.25"/>
    <row r="54" spans="4:4" ht="15" hidden="1" customHeight="1" x14ac:dyDescent="0.25"/>
    <row r="55" spans="4:4" ht="15" hidden="1" customHeight="1" x14ac:dyDescent="0.25"/>
    <row r="56" spans="4:4" ht="15" hidden="1" customHeight="1" x14ac:dyDescent="0.25"/>
  </sheetData>
  <sheetProtection algorithmName="SHA-512" hashValue="U1XXlNc0W54NfmldxbtG/P1A1nuvwUAxJTEgihmjhFH/GRD7CydHQqf/3PBTsx5J3k2btjORd5dVraIOZMMkfQ==" saltValue="iuBQw61OFXhpYrGWWZdLyA==" spinCount="100000" sheet="1" objects="1" scenarios="1"/>
  <mergeCells count="12">
    <mergeCell ref="E10:F10"/>
    <mergeCell ref="E11:F11"/>
    <mergeCell ref="B4:B11"/>
    <mergeCell ref="B1:B3"/>
    <mergeCell ref="E3:F4"/>
    <mergeCell ref="G3:G4"/>
    <mergeCell ref="H3:H4"/>
    <mergeCell ref="E9:F9"/>
    <mergeCell ref="E5:F5"/>
    <mergeCell ref="E6:F6"/>
    <mergeCell ref="E7:F7"/>
    <mergeCell ref="E8:F8"/>
  </mergeCells>
  <hyperlinks>
    <hyperlink ref="E5" location="'E-1 Passive Design'!A1" tooltip="E-1 Passive design" display="E-1 Passive design" xr:uid="{00000000-0004-0000-0B00-000000000000}"/>
    <hyperlink ref="E6" location="'E-2 Building Envelope'!A1" tooltip="E-2 Building Envelope" display="E-2 Building Envelope" xr:uid="{00000000-0004-0000-0B00-000001000000}"/>
    <hyperlink ref="E7" location="'E-3 Home cooling'!A1" tooltip="E-3 Home Cooling" display="E-3 Home Cooling" xr:uid="{00000000-0004-0000-0B00-000002000000}"/>
    <hyperlink ref="E8" location="'E-4 Artificial Lighting'!A1" tooltip="E-4 Artificial Lighting" display="E-4 Artificial Lighting" xr:uid="{00000000-0004-0000-0B00-000003000000}"/>
    <hyperlink ref="E9" location="'E-6 Energy Efficient Appliances'!A1" tooltip="E-6 Energy Efficient Appliances" display="E-6 Energy Efficient Appliances" xr:uid="{00000000-0004-0000-0B00-000004000000}"/>
    <hyperlink ref="E10" location="'E-7 Energy Monitors '!A1" tooltip="E-7 Energy Monitors " display="E-7 Energy Monitors " xr:uid="{00000000-0004-0000-0B00-000005000000}"/>
    <hyperlink ref="E11:F11" location="'Energy BPC'!B3" tooltip="Best Practice Credits" display="Best Practice Credits" xr:uid="{00000000-0004-0000-0B00-000006000000}"/>
    <hyperlink ref="E5:F5" location="'E-1 Passive Design'!B3" tooltip="E-1 Passive design" display="E-1 Passive design" xr:uid="{00000000-0004-0000-0B00-000007000000}"/>
    <hyperlink ref="E6:F6" location="'E-2 Building Envelope'!B3" tooltip="E-2 Building Envelope" display="E-2 Building Envelope" xr:uid="{00000000-0004-0000-0B00-000008000000}"/>
    <hyperlink ref="E7:F7" location="'E-3 Building Cooling'!B3" tooltip="E-3 Building Cooling" display="E-3 Building Cooling" xr:uid="{00000000-0004-0000-0B00-000009000000}"/>
    <hyperlink ref="E8:F8" location="'E-4 Artificial Lighting'!D3" tooltip="E-4 Artificial Lighting" display="E-4 Artificial Lighting" xr:uid="{00000000-0004-0000-0B00-00000A000000}"/>
    <hyperlink ref="E9:F9" location="'E-5 Energy Efficient Appliances'!B3" tooltip="E-5 Energy Efficient Appliances" display="E-5 Energy Efficient Appliances" xr:uid="{00000000-0004-0000-0B00-00000B000000}"/>
    <hyperlink ref="E10:F10" location="'E-6 Energy Monitor'!B3" tooltip="E-6 Energy Monitor" display="E-6 Energy Monitor" xr:uid="{00000000-0004-0000-0B00-00000C000000}"/>
  </hyperlink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58B527"/>
  </sheetPr>
  <dimension ref="A1:N195"/>
  <sheetViews>
    <sheetView showRowColHeaders="0" zoomScaleNormal="100" workbookViewId="0">
      <pane ySplit="7" topLeftCell="A9" activePane="bottomLeft" state="frozen"/>
      <selection pane="bottomLeft" activeCell="A5" sqref="A5:M7"/>
    </sheetView>
  </sheetViews>
  <sheetFormatPr defaultColWidth="0" defaultRowHeight="15" customHeight="1" zeroHeight="1" x14ac:dyDescent="0.25"/>
  <cols>
    <col min="1" max="1" width="3.7109375" style="38" customWidth="1"/>
    <col min="2" max="4" width="20.85546875" style="38" customWidth="1"/>
    <col min="5" max="5" width="21.28515625" style="38" customWidth="1"/>
    <col min="6" max="8" width="18.28515625" style="38" customWidth="1"/>
    <col min="9" max="9" width="13.7109375" style="38" customWidth="1"/>
    <col min="10" max="13" width="8.7109375" style="38" customWidth="1"/>
    <col min="14" max="16384" width="9.140625" style="38" hidden="1"/>
  </cols>
  <sheetData>
    <row r="1" spans="1:14" ht="23.25" x14ac:dyDescent="0.25">
      <c r="A1" s="1584" t="s">
        <v>17</v>
      </c>
      <c r="B1" s="1584"/>
      <c r="C1" s="1584"/>
      <c r="D1" s="1584"/>
      <c r="E1" s="1584"/>
      <c r="F1" s="1584"/>
      <c r="G1" s="1584"/>
      <c r="H1" s="1584"/>
      <c r="I1" s="1584"/>
      <c r="J1" s="1584"/>
      <c r="K1" s="1584"/>
      <c r="L1" s="1584"/>
      <c r="M1" s="1584"/>
    </row>
    <row r="2" spans="1:14" ht="15" customHeight="1" x14ac:dyDescent="0.25">
      <c r="A2" s="49"/>
      <c r="B2" s="50"/>
      <c r="C2" s="50"/>
      <c r="D2" s="50"/>
      <c r="E2" s="50"/>
      <c r="F2" s="49"/>
      <c r="G2" s="49"/>
      <c r="H2" s="49"/>
      <c r="I2" s="1585" t="s">
        <v>512</v>
      </c>
      <c r="J2" s="1585"/>
      <c r="K2" s="1585"/>
      <c r="L2" s="212" t="s">
        <v>63</v>
      </c>
      <c r="M2" s="212" t="s">
        <v>74</v>
      </c>
    </row>
    <row r="3" spans="1:14" ht="15" customHeight="1" x14ac:dyDescent="0.25">
      <c r="A3" s="49"/>
      <c r="B3" s="50"/>
      <c r="C3" s="50"/>
      <c r="D3" s="50"/>
      <c r="E3" s="50"/>
      <c r="F3" s="49"/>
      <c r="G3" s="49"/>
      <c r="H3" s="49"/>
      <c r="I3" s="1585"/>
      <c r="J3" s="1585"/>
      <c r="K3" s="1585"/>
      <c r="L3" s="212" t="s">
        <v>67</v>
      </c>
      <c r="M3" s="212" t="s">
        <v>78</v>
      </c>
    </row>
    <row r="4" spans="1:14" ht="15" customHeight="1" x14ac:dyDescent="0.25">
      <c r="A4" s="49"/>
      <c r="B4" s="50"/>
      <c r="C4" s="50"/>
      <c r="D4" s="50"/>
      <c r="E4" s="50"/>
      <c r="F4" s="49"/>
      <c r="G4" s="49"/>
      <c r="H4" s="49"/>
      <c r="I4" s="1586"/>
      <c r="J4" s="1586"/>
      <c r="K4" s="1586"/>
      <c r="L4" s="212" t="s">
        <v>70</v>
      </c>
      <c r="M4" s="212" t="s">
        <v>76</v>
      </c>
    </row>
    <row r="5" spans="1:14" ht="21" customHeight="1" x14ac:dyDescent="0.25">
      <c r="A5" s="1600" t="s">
        <v>2517</v>
      </c>
      <c r="B5" s="1601"/>
      <c r="C5" s="1601"/>
      <c r="D5" s="1601"/>
      <c r="E5" s="1601"/>
      <c r="F5" s="1601"/>
      <c r="G5" s="1601"/>
      <c r="H5" s="1601"/>
      <c r="I5" s="1601"/>
      <c r="J5" s="1601"/>
      <c r="K5" s="1601"/>
      <c r="L5" s="1601"/>
      <c r="M5" s="1602"/>
    </row>
    <row r="6" spans="1:14" ht="21" customHeight="1" x14ac:dyDescent="0.25">
      <c r="A6" s="1603"/>
      <c r="B6" s="1604"/>
      <c r="C6" s="1604"/>
      <c r="D6" s="1604"/>
      <c r="E6" s="1604"/>
      <c r="F6" s="1604"/>
      <c r="G6" s="1604"/>
      <c r="H6" s="1604"/>
      <c r="I6" s="1604"/>
      <c r="J6" s="1604"/>
      <c r="K6" s="1604"/>
      <c r="L6" s="1604"/>
      <c r="M6" s="1605"/>
    </row>
    <row r="7" spans="1:14" ht="21" customHeight="1" x14ac:dyDescent="0.25">
      <c r="A7" s="1606"/>
      <c r="B7" s="1607"/>
      <c r="C7" s="1607"/>
      <c r="D7" s="1607"/>
      <c r="E7" s="1607"/>
      <c r="F7" s="1607"/>
      <c r="G7" s="1607"/>
      <c r="H7" s="1607"/>
      <c r="I7" s="1607"/>
      <c r="J7" s="1607"/>
      <c r="K7" s="1607"/>
      <c r="L7" s="1607"/>
      <c r="M7" s="1608"/>
    </row>
    <row r="8" spans="1:14" ht="12" customHeight="1" x14ac:dyDescent="0.25">
      <c r="A8" s="49"/>
      <c r="B8" s="50"/>
      <c r="C8" s="50"/>
      <c r="D8" s="50"/>
      <c r="E8" s="50"/>
      <c r="F8" s="49"/>
      <c r="G8" s="49"/>
      <c r="H8" s="49"/>
      <c r="I8" s="49"/>
      <c r="J8" s="49"/>
      <c r="K8" s="49"/>
      <c r="L8" s="49"/>
      <c r="M8" s="49"/>
    </row>
    <row r="9" spans="1:14" ht="18.75" customHeight="1" x14ac:dyDescent="0.25">
      <c r="A9" s="1591" t="s">
        <v>177</v>
      </c>
      <c r="B9" s="1591"/>
      <c r="C9" s="1591"/>
      <c r="D9" s="1591"/>
      <c r="E9" s="1591"/>
      <c r="F9" s="1591"/>
      <c r="G9" s="1591"/>
      <c r="H9" s="1591"/>
      <c r="I9" s="1591"/>
      <c r="J9" s="1591"/>
      <c r="K9" s="1591"/>
      <c r="L9" s="1591"/>
      <c r="M9" s="1591"/>
    </row>
    <row r="10" spans="1:14" ht="16.5" customHeight="1" x14ac:dyDescent="0.25">
      <c r="A10" s="49"/>
      <c r="B10" s="50"/>
      <c r="C10" s="50"/>
      <c r="D10" s="50"/>
      <c r="E10" s="50"/>
      <c r="F10" s="49"/>
      <c r="G10" s="49"/>
      <c r="H10" s="49"/>
      <c r="I10" s="49"/>
      <c r="J10" s="49"/>
      <c r="K10" s="49"/>
      <c r="L10" s="49"/>
      <c r="M10" s="49"/>
    </row>
    <row r="11" spans="1:14" ht="19.5" customHeight="1" x14ac:dyDescent="0.25">
      <c r="A11" s="49"/>
      <c r="B11" s="1609" t="s">
        <v>178</v>
      </c>
      <c r="C11" s="1610"/>
      <c r="D11" s="1610"/>
      <c r="E11" s="1610"/>
      <c r="F11" s="442" t="s">
        <v>152</v>
      </c>
      <c r="G11" s="442" t="s">
        <v>53</v>
      </c>
      <c r="H11" s="90" t="s">
        <v>492</v>
      </c>
      <c r="I11" s="49"/>
      <c r="J11" s="49"/>
      <c r="K11" s="49"/>
      <c r="L11" s="49"/>
      <c r="M11" s="49"/>
    </row>
    <row r="12" spans="1:14" ht="42" customHeight="1" x14ac:dyDescent="0.25">
      <c r="A12" s="49"/>
      <c r="B12" s="1611" t="s">
        <v>1588</v>
      </c>
      <c r="C12" s="1612" t="s">
        <v>216</v>
      </c>
      <c r="D12" s="1612" t="s">
        <v>216</v>
      </c>
      <c r="E12" s="1612" t="s">
        <v>216</v>
      </c>
      <c r="F12" s="55">
        <v>2</v>
      </c>
      <c r="G12" s="441">
        <f>C46</f>
        <v>0</v>
      </c>
      <c r="H12" s="441" t="str">
        <f>C47</f>
        <v>No</v>
      </c>
      <c r="I12" s="49"/>
      <c r="J12" s="49"/>
      <c r="K12" s="49"/>
      <c r="L12" s="49"/>
      <c r="M12" s="49"/>
      <c r="N12" s="38" t="str">
        <f>IF(G12&lt;&gt;0,IF(H12="No","No","Yes"),"Yes")</f>
        <v>Yes</v>
      </c>
    </row>
    <row r="13" spans="1:14" ht="42" customHeight="1" x14ac:dyDescent="0.25">
      <c r="A13" s="49"/>
      <c r="B13" s="1611" t="s">
        <v>1589</v>
      </c>
      <c r="C13" s="1612" t="s">
        <v>217</v>
      </c>
      <c r="D13" s="1612" t="s">
        <v>217</v>
      </c>
      <c r="E13" s="1612" t="s">
        <v>217</v>
      </c>
      <c r="F13" s="55">
        <v>2</v>
      </c>
      <c r="G13" s="441">
        <f>C74</f>
        <v>0</v>
      </c>
      <c r="H13" s="441" t="str">
        <f>C75</f>
        <v>No</v>
      </c>
      <c r="I13" s="49"/>
      <c r="J13" s="49"/>
      <c r="K13" s="49"/>
      <c r="L13" s="49"/>
      <c r="M13" s="49"/>
      <c r="N13" s="38" t="str">
        <f>IF(G13&lt;&gt;0,IF(H13="No","No","Yes"),"Yes")</f>
        <v>Yes</v>
      </c>
    </row>
    <row r="14" spans="1:14" ht="54" customHeight="1" x14ac:dyDescent="0.25">
      <c r="A14" s="49"/>
      <c r="B14" s="1611" t="s">
        <v>2516</v>
      </c>
      <c r="C14" s="1612" t="s">
        <v>218</v>
      </c>
      <c r="D14" s="1612" t="s">
        <v>218</v>
      </c>
      <c r="E14" s="1612" t="s">
        <v>218</v>
      </c>
      <c r="F14" s="55">
        <v>2</v>
      </c>
      <c r="G14" s="441">
        <f>C133</f>
        <v>0</v>
      </c>
      <c r="H14" s="55" t="str">
        <f>C134</f>
        <v>No</v>
      </c>
      <c r="I14" s="49"/>
      <c r="J14" s="49"/>
      <c r="K14" s="49"/>
      <c r="L14" s="49"/>
      <c r="M14" s="49"/>
      <c r="N14" s="38" t="str">
        <f>IF(G14&lt;&gt;0,IF(H14="No","No","Yes"),"Yes")</f>
        <v>Yes</v>
      </c>
    </row>
    <row r="15" spans="1:14" ht="19.5" customHeight="1" x14ac:dyDescent="0.25">
      <c r="A15" s="49"/>
      <c r="B15" s="1613" t="s">
        <v>79</v>
      </c>
      <c r="C15" s="1614" t="s">
        <v>229</v>
      </c>
      <c r="D15" s="1614" t="s">
        <v>229</v>
      </c>
      <c r="E15" s="1615" t="s">
        <v>229</v>
      </c>
      <c r="F15" s="631">
        <v>5</v>
      </c>
      <c r="G15" s="631">
        <f>MIN(5,SUM(G12:G14))</f>
        <v>0</v>
      </c>
      <c r="H15" s="631" t="str">
        <f>IF(COUNTIF(H12:H14,"No")=3,"No",IF(COUNTIF(N12:N14,"Yes")=3,"Yes","No"))</f>
        <v>No</v>
      </c>
      <c r="I15" s="49"/>
      <c r="J15" s="49"/>
      <c r="K15" s="49"/>
      <c r="L15" s="49"/>
      <c r="M15" s="49"/>
    </row>
    <row r="16" spans="1:14" ht="16.5" customHeight="1" x14ac:dyDescent="0.25">
      <c r="A16" s="49"/>
      <c r="B16" s="49"/>
      <c r="C16" s="49"/>
      <c r="D16" s="49"/>
      <c r="E16" s="49"/>
      <c r="F16" s="49"/>
      <c r="G16" s="49"/>
      <c r="H16" s="49"/>
      <c r="I16" s="49"/>
      <c r="J16" s="49"/>
      <c r="K16" s="49"/>
      <c r="L16" s="49"/>
      <c r="M16" s="49"/>
    </row>
    <row r="17" spans="1:14" ht="18.75" customHeight="1" x14ac:dyDescent="0.25">
      <c r="A17" s="1591" t="s">
        <v>220</v>
      </c>
      <c r="B17" s="1591"/>
      <c r="C17" s="1591"/>
      <c r="D17" s="1591"/>
      <c r="E17" s="1591"/>
      <c r="F17" s="1591"/>
      <c r="G17" s="1591"/>
      <c r="H17" s="1591"/>
      <c r="I17" s="1591"/>
      <c r="J17" s="1591"/>
      <c r="K17" s="1591"/>
      <c r="L17" s="1591"/>
      <c r="M17" s="1591"/>
    </row>
    <row r="18" spans="1:14" ht="16.5" customHeight="1" x14ac:dyDescent="0.25">
      <c r="A18" s="49"/>
      <c r="B18" s="50"/>
      <c r="C18" s="50"/>
      <c r="D18" s="50"/>
      <c r="E18" s="50"/>
      <c r="F18" s="49"/>
      <c r="G18" s="49"/>
      <c r="H18" s="1616" t="s">
        <v>1513</v>
      </c>
      <c r="I18" s="1616"/>
      <c r="J18" s="1616"/>
      <c r="K18" s="1616"/>
      <c r="L18" s="1616"/>
      <c r="M18" s="1616"/>
      <c r="N18" s="1128"/>
    </row>
    <row r="19" spans="1:14" ht="16.5" customHeight="1" x14ac:dyDescent="0.25">
      <c r="A19" s="1592" t="s">
        <v>245</v>
      </c>
      <c r="B19" s="1592"/>
      <c r="C19" s="1592"/>
      <c r="D19" s="50"/>
      <c r="E19" s="50"/>
      <c r="F19" s="49"/>
      <c r="G19" s="49"/>
      <c r="H19" s="1616"/>
      <c r="I19" s="1616"/>
      <c r="J19" s="1616"/>
      <c r="K19" s="1616"/>
      <c r="L19" s="1616"/>
      <c r="M19" s="1616"/>
      <c r="N19" s="1128"/>
    </row>
    <row r="20" spans="1:14" ht="15" customHeight="1" x14ac:dyDescent="0.25">
      <c r="A20" s="49"/>
      <c r="B20" s="50"/>
      <c r="C20" s="50"/>
      <c r="D20" s="50"/>
      <c r="E20" s="50"/>
      <c r="F20" s="49"/>
      <c r="G20" s="49"/>
      <c r="H20" s="49"/>
      <c r="I20" s="49"/>
      <c r="J20" s="49"/>
      <c r="K20" s="49"/>
      <c r="L20" s="49"/>
      <c r="M20" s="49"/>
    </row>
    <row r="21" spans="1:14" ht="15" customHeight="1" x14ac:dyDescent="0.25">
      <c r="A21" s="49"/>
      <c r="B21" s="1618" t="s">
        <v>1262</v>
      </c>
      <c r="C21" s="1618"/>
      <c r="D21" s="1618"/>
      <c r="E21" s="1618"/>
      <c r="F21" s="1618"/>
      <c r="G21" s="1618"/>
      <c r="H21" s="1618"/>
      <c r="I21" s="49"/>
      <c r="J21" s="49"/>
      <c r="K21" s="49"/>
      <c r="L21" s="49"/>
      <c r="M21" s="49"/>
    </row>
    <row r="22" spans="1:14" ht="16.5" customHeight="1" x14ac:dyDescent="0.25">
      <c r="A22" s="49"/>
      <c r="B22" s="605"/>
      <c r="C22" s="605"/>
      <c r="D22" s="605"/>
      <c r="E22" s="605"/>
      <c r="F22" s="605"/>
      <c r="G22" s="605"/>
      <c r="H22" s="605"/>
      <c r="I22" s="49"/>
      <c r="J22" s="49"/>
      <c r="K22" s="49"/>
      <c r="L22" s="49"/>
      <c r="M22" s="49"/>
    </row>
    <row r="23" spans="1:14" ht="15" customHeight="1" x14ac:dyDescent="0.25">
      <c r="A23" s="49"/>
      <c r="B23" s="1619" t="s">
        <v>1263</v>
      </c>
      <c r="C23" s="1619"/>
      <c r="D23" s="1619"/>
      <c r="E23" s="1619"/>
      <c r="F23" s="1619"/>
      <c r="G23" s="1619"/>
      <c r="H23" s="1619"/>
      <c r="I23" s="49"/>
      <c r="J23" s="49"/>
      <c r="K23" s="49"/>
      <c r="L23" s="49"/>
      <c r="M23" s="49"/>
    </row>
    <row r="24" spans="1:14" ht="15" customHeight="1" x14ac:dyDescent="0.25">
      <c r="A24" s="49"/>
      <c r="B24" s="1619" t="s">
        <v>1264</v>
      </c>
      <c r="C24" s="1619"/>
      <c r="D24" s="1619"/>
      <c r="E24" s="1619"/>
      <c r="F24" s="1619"/>
      <c r="G24" s="1619"/>
      <c r="H24" s="1619"/>
      <c r="I24" s="49"/>
      <c r="J24" s="49"/>
      <c r="K24" s="49"/>
      <c r="L24" s="49"/>
      <c r="M24" s="49"/>
    </row>
    <row r="25" spans="1:14" ht="16.5" customHeight="1" x14ac:dyDescent="0.25">
      <c r="A25" s="49"/>
      <c r="B25" s="53"/>
      <c r="C25" s="50"/>
      <c r="D25" s="50"/>
      <c r="E25" s="50"/>
      <c r="F25" s="49"/>
      <c r="G25" s="49"/>
      <c r="H25" s="49"/>
      <c r="I25" s="49"/>
      <c r="J25" s="49"/>
      <c r="K25" s="49"/>
      <c r="L25" s="49"/>
      <c r="M25" s="49"/>
    </row>
    <row r="26" spans="1:14" ht="16.5" customHeight="1" x14ac:dyDescent="0.25">
      <c r="A26" s="1592" t="s">
        <v>23</v>
      </c>
      <c r="B26" s="1592"/>
      <c r="C26" s="1592"/>
      <c r="D26" s="50"/>
      <c r="E26" s="50"/>
      <c r="F26" s="49"/>
      <c r="G26" s="49"/>
      <c r="H26" s="49"/>
      <c r="I26" s="49"/>
      <c r="J26" s="49"/>
      <c r="K26" s="49"/>
      <c r="L26" s="49"/>
      <c r="M26" s="49"/>
    </row>
    <row r="27" spans="1:14" ht="16.5" customHeight="1" x14ac:dyDescent="0.25">
      <c r="A27" s="49"/>
      <c r="B27" s="50"/>
      <c r="C27" s="50"/>
      <c r="D27" s="50"/>
      <c r="E27" s="50"/>
      <c r="F27" s="49"/>
      <c r="G27" s="49"/>
      <c r="H27" s="49"/>
      <c r="I27" s="49"/>
      <c r="J27" s="49"/>
      <c r="K27" s="49"/>
      <c r="L27" s="49"/>
      <c r="M27" s="49"/>
    </row>
    <row r="28" spans="1:14" ht="15" customHeight="1" x14ac:dyDescent="0.25">
      <c r="A28" s="49"/>
      <c r="B28" s="1597" t="s">
        <v>1265</v>
      </c>
      <c r="C28" s="1597"/>
      <c r="D28" s="1597"/>
      <c r="E28" s="1597"/>
      <c r="F28" s="1597"/>
      <c r="G28" s="49"/>
      <c r="H28" s="49"/>
      <c r="I28" s="49"/>
      <c r="J28" s="49"/>
      <c r="K28" s="49"/>
      <c r="L28" s="49"/>
      <c r="M28" s="49"/>
    </row>
    <row r="29" spans="1:14" ht="9.75" customHeight="1" x14ac:dyDescent="0.25">
      <c r="A29" s="49"/>
      <c r="B29" s="50"/>
      <c r="C29" s="50"/>
      <c r="D29" s="50"/>
      <c r="E29" s="50"/>
      <c r="F29" s="49"/>
      <c r="G29" s="49"/>
      <c r="H29" s="49"/>
      <c r="I29" s="49"/>
      <c r="J29" s="49"/>
      <c r="K29" s="49"/>
      <c r="L29" s="49"/>
      <c r="M29" s="49"/>
    </row>
    <row r="30" spans="1:14" ht="17.25" customHeight="1" x14ac:dyDescent="0.25">
      <c r="A30" s="49"/>
      <c r="B30" s="1617" t="s">
        <v>1266</v>
      </c>
      <c r="C30" s="1617"/>
      <c r="D30" s="467"/>
      <c r="E30" s="50"/>
      <c r="F30" s="49"/>
      <c r="G30" s="49"/>
      <c r="H30" s="49"/>
      <c r="I30" s="49"/>
      <c r="J30" s="49"/>
      <c r="K30" s="49"/>
      <c r="L30" s="49"/>
      <c r="M30" s="49"/>
    </row>
    <row r="31" spans="1:14" ht="17.25" customHeight="1" x14ac:dyDescent="0.25">
      <c r="A31" s="49"/>
      <c r="B31" s="1617" t="s">
        <v>1267</v>
      </c>
      <c r="C31" s="1617"/>
      <c r="D31" s="467"/>
      <c r="E31" s="50"/>
      <c r="F31" s="49"/>
      <c r="G31" s="49"/>
      <c r="H31" s="49"/>
      <c r="I31" s="49"/>
      <c r="J31" s="49"/>
      <c r="K31" s="49"/>
      <c r="L31" s="49"/>
      <c r="M31" s="49"/>
    </row>
    <row r="32" spans="1:14" ht="17.25" customHeight="1" x14ac:dyDescent="0.25">
      <c r="A32" s="49"/>
      <c r="B32" s="1617" t="s">
        <v>1268</v>
      </c>
      <c r="C32" s="1617"/>
      <c r="D32" s="467"/>
      <c r="E32" s="50"/>
      <c r="F32" s="49"/>
      <c r="G32" s="49"/>
      <c r="H32" s="49"/>
      <c r="I32" s="49"/>
      <c r="J32" s="49"/>
      <c r="K32" s="49"/>
      <c r="L32" s="49"/>
      <c r="M32" s="49"/>
    </row>
    <row r="33" spans="1:13" ht="17.25" customHeight="1" x14ac:dyDescent="0.25">
      <c r="A33" s="49"/>
      <c r="B33" s="1617" t="s">
        <v>1269</v>
      </c>
      <c r="C33" s="1617"/>
      <c r="D33" s="467"/>
      <c r="E33" s="50"/>
      <c r="F33" s="49"/>
      <c r="G33" s="49"/>
      <c r="H33" s="49"/>
      <c r="I33" s="49"/>
      <c r="J33" s="49"/>
      <c r="K33" s="49"/>
      <c r="L33" s="49"/>
      <c r="M33" s="49"/>
    </row>
    <row r="34" spans="1:13" ht="21" customHeight="1" x14ac:dyDescent="0.25">
      <c r="A34" s="49"/>
      <c r="B34" s="1593" t="s">
        <v>1270</v>
      </c>
      <c r="C34" s="1593"/>
      <c r="D34" s="54">
        <f>SUM(D30:D33)</f>
        <v>0</v>
      </c>
      <c r="E34" s="50"/>
      <c r="F34" s="49"/>
      <c r="G34" s="49"/>
      <c r="H34" s="49"/>
      <c r="I34" s="49"/>
      <c r="J34" s="49"/>
      <c r="K34" s="49"/>
      <c r="L34" s="49"/>
      <c r="M34" s="49"/>
    </row>
    <row r="35" spans="1:13" ht="18" customHeight="1" x14ac:dyDescent="0.25">
      <c r="A35" s="50"/>
      <c r="B35" s="50"/>
      <c r="C35" s="50"/>
      <c r="D35" s="50"/>
      <c r="E35" s="50"/>
      <c r="F35" s="49"/>
      <c r="G35" s="49"/>
      <c r="H35" s="49"/>
      <c r="I35" s="49"/>
      <c r="J35" s="49"/>
      <c r="K35" s="49"/>
      <c r="L35" s="49"/>
      <c r="M35" s="49"/>
    </row>
    <row r="36" spans="1:13" ht="21" customHeight="1" x14ac:dyDescent="0.25">
      <c r="A36" s="49"/>
      <c r="B36" s="1594" t="s">
        <v>219</v>
      </c>
      <c r="C36" s="1594"/>
      <c r="D36" s="222">
        <f>IFERROR((D30+D31)/D34,0)</f>
        <v>0</v>
      </c>
      <c r="E36" s="50"/>
      <c r="F36" s="49"/>
      <c r="G36" s="49"/>
      <c r="H36" s="49"/>
      <c r="I36" s="49"/>
      <c r="J36" s="49"/>
      <c r="K36" s="49"/>
      <c r="L36" s="49"/>
      <c r="M36" s="49"/>
    </row>
    <row r="37" spans="1:13" ht="18.75" customHeight="1" x14ac:dyDescent="0.25">
      <c r="A37" s="49"/>
      <c r="B37" s="49"/>
      <c r="C37" s="49"/>
      <c r="D37" s="49"/>
      <c r="E37" s="49"/>
      <c r="F37" s="49"/>
      <c r="G37" s="49"/>
      <c r="H37" s="49"/>
      <c r="I37" s="49"/>
      <c r="J37" s="49"/>
      <c r="K37" s="49"/>
      <c r="L37" s="49"/>
      <c r="M37" s="49"/>
    </row>
    <row r="38" spans="1:13" ht="16.5" customHeight="1" x14ac:dyDescent="0.25">
      <c r="A38" s="1592" t="s">
        <v>186</v>
      </c>
      <c r="B38" s="1592"/>
      <c r="C38" s="1592"/>
      <c r="D38" s="49"/>
      <c r="E38" s="49"/>
      <c r="F38" s="49"/>
      <c r="G38" s="49"/>
      <c r="H38" s="49"/>
      <c r="I38" s="49"/>
      <c r="J38" s="49"/>
      <c r="K38" s="49"/>
      <c r="L38" s="49"/>
      <c r="M38" s="49"/>
    </row>
    <row r="39" spans="1:13" x14ac:dyDescent="0.25">
      <c r="A39" s="49"/>
      <c r="B39" s="49"/>
      <c r="C39" s="49"/>
      <c r="D39" s="49"/>
      <c r="E39" s="49"/>
      <c r="F39" s="49"/>
      <c r="G39" s="49"/>
      <c r="H39" s="49"/>
      <c r="I39" s="49"/>
      <c r="J39" s="49"/>
      <c r="K39" s="49"/>
      <c r="L39" s="49"/>
      <c r="M39" s="49"/>
    </row>
    <row r="40" spans="1:13" ht="18" customHeight="1" x14ac:dyDescent="0.25">
      <c r="A40" s="49"/>
      <c r="B40" s="1582" t="s">
        <v>1739</v>
      </c>
      <c r="C40" s="1583"/>
      <c r="D40" s="1583"/>
      <c r="E40" s="1583"/>
      <c r="F40" s="1583"/>
      <c r="G40" s="934" t="s">
        <v>1737</v>
      </c>
      <c r="H40" s="1589" t="s">
        <v>1738</v>
      </c>
      <c r="I40" s="1590"/>
      <c r="J40" s="49"/>
      <c r="K40" s="49"/>
      <c r="L40" s="49"/>
      <c r="M40" s="49"/>
    </row>
    <row r="41" spans="1:13" ht="24" customHeight="1" x14ac:dyDescent="0.25">
      <c r="A41" s="49"/>
      <c r="B41" s="1576" t="s">
        <v>1124</v>
      </c>
      <c r="C41" s="1577"/>
      <c r="D41" s="1577"/>
      <c r="E41" s="1577"/>
      <c r="F41" s="1578"/>
      <c r="G41" s="471" t="s">
        <v>124</v>
      </c>
      <c r="H41" s="1587"/>
      <c r="I41" s="1588"/>
      <c r="J41" s="49"/>
      <c r="K41" s="49"/>
      <c r="L41" s="49"/>
      <c r="M41" s="49"/>
    </row>
    <row r="42" spans="1:13" ht="24" customHeight="1" x14ac:dyDescent="0.25">
      <c r="A42" s="49"/>
      <c r="B42" s="1576" t="s">
        <v>1123</v>
      </c>
      <c r="C42" s="1577"/>
      <c r="D42" s="1577"/>
      <c r="E42" s="1577"/>
      <c r="F42" s="1578"/>
      <c r="G42" s="1164" t="s">
        <v>124</v>
      </c>
      <c r="H42" s="1587"/>
      <c r="I42" s="1588"/>
      <c r="J42" s="49"/>
      <c r="K42" s="49"/>
      <c r="L42" s="49"/>
      <c r="M42" s="49"/>
    </row>
    <row r="43" spans="1:13" ht="15" customHeight="1" x14ac:dyDescent="0.25">
      <c r="A43" s="49"/>
      <c r="B43" s="49"/>
      <c r="C43" s="49"/>
      <c r="D43" s="49"/>
      <c r="E43" s="49"/>
      <c r="F43" s="49"/>
      <c r="G43" s="49"/>
      <c r="H43" s="49"/>
      <c r="I43" s="49"/>
      <c r="J43" s="49"/>
      <c r="K43" s="49"/>
      <c r="L43" s="49"/>
      <c r="M43" s="49"/>
    </row>
    <row r="44" spans="1:13" ht="16.5" customHeight="1" x14ac:dyDescent="0.25">
      <c r="A44" s="1592" t="s">
        <v>22</v>
      </c>
      <c r="B44" s="1592"/>
      <c r="C44" s="1592"/>
      <c r="D44" s="49"/>
      <c r="E44" s="49"/>
      <c r="F44" s="49"/>
      <c r="G44" s="49"/>
      <c r="H44" s="49"/>
      <c r="I44" s="49"/>
      <c r="J44" s="49"/>
      <c r="K44" s="49"/>
      <c r="L44" s="49"/>
      <c r="M44" s="49"/>
    </row>
    <row r="45" spans="1:13" ht="15" customHeight="1" x14ac:dyDescent="0.25">
      <c r="A45" s="49"/>
      <c r="B45" s="49"/>
      <c r="C45" s="49"/>
      <c r="D45" s="49"/>
      <c r="E45" s="49"/>
      <c r="F45" s="49"/>
      <c r="G45" s="49"/>
      <c r="H45" s="49"/>
      <c r="I45" s="49"/>
      <c r="J45" s="49"/>
      <c r="K45" s="49"/>
      <c r="L45" s="49"/>
      <c r="M45" s="49"/>
    </row>
    <row r="46" spans="1:13" ht="18" customHeight="1" x14ac:dyDescent="0.25">
      <c r="A46" s="49"/>
      <c r="B46" s="171" t="s">
        <v>53</v>
      </c>
      <c r="C46" s="1328">
        <f>IF(D36=0,IF(AND(D30&lt;&gt;"",D31&lt;&gt;""),2,0),IF(D36&lt;=0.2,2,IF(D36&lt;=0.4,1,0)))</f>
        <v>0</v>
      </c>
      <c r="D46" s="49"/>
      <c r="E46" s="49"/>
      <c r="F46" s="49"/>
      <c r="G46" s="49"/>
      <c r="H46" s="49"/>
      <c r="I46" s="49"/>
      <c r="J46" s="49"/>
      <c r="K46" s="49"/>
      <c r="L46" s="49"/>
      <c r="M46" s="49"/>
    </row>
    <row r="47" spans="1:13" ht="18" customHeight="1" x14ac:dyDescent="0.25">
      <c r="A47" s="49"/>
      <c r="B47" s="171" t="s">
        <v>492</v>
      </c>
      <c r="C47" s="1328" t="str">
        <f>IF(AND(G41="Submitted",G42="Submitted",C46&gt;0),"Yes","No")</f>
        <v>No</v>
      </c>
      <c r="D47" s="49"/>
      <c r="E47" s="49"/>
      <c r="F47" s="49"/>
      <c r="G47" s="49"/>
      <c r="H47" s="49"/>
      <c r="I47" s="49"/>
      <c r="J47" s="49"/>
      <c r="K47" s="49"/>
      <c r="L47" s="49"/>
      <c r="M47" s="49"/>
    </row>
    <row r="48" spans="1:13" ht="20.25" customHeight="1" x14ac:dyDescent="0.25">
      <c r="A48" s="49"/>
      <c r="B48" s="50"/>
      <c r="C48" s="50"/>
      <c r="D48" s="50"/>
      <c r="E48" s="50"/>
      <c r="F48" s="49"/>
      <c r="G48" s="49"/>
      <c r="H48" s="49"/>
      <c r="I48" s="49"/>
      <c r="J48" s="49"/>
      <c r="K48" s="49"/>
      <c r="L48" s="49"/>
      <c r="M48" s="49"/>
    </row>
    <row r="49" spans="1:14" ht="20.25" customHeight="1" x14ac:dyDescent="0.25">
      <c r="A49" s="1591" t="s">
        <v>221</v>
      </c>
      <c r="B49" s="1591"/>
      <c r="C49" s="1591"/>
      <c r="D49" s="1591"/>
      <c r="E49" s="1591"/>
      <c r="F49" s="1591"/>
      <c r="G49" s="1591"/>
      <c r="H49" s="1591"/>
      <c r="I49" s="1591"/>
      <c r="J49" s="1591"/>
      <c r="K49" s="1591"/>
      <c r="L49" s="1591"/>
      <c r="M49" s="1591"/>
    </row>
    <row r="50" spans="1:14" x14ac:dyDescent="0.25">
      <c r="A50" s="50"/>
      <c r="B50" s="50"/>
      <c r="C50" s="50"/>
      <c r="D50" s="50"/>
      <c r="E50" s="50"/>
      <c r="F50" s="49"/>
      <c r="G50" s="49"/>
      <c r="H50" s="49"/>
      <c r="I50" s="49"/>
      <c r="J50" s="49"/>
      <c r="K50" s="49"/>
      <c r="L50" s="49"/>
      <c r="M50" s="49"/>
    </row>
    <row r="51" spans="1:14" ht="16.5" customHeight="1" x14ac:dyDescent="0.25">
      <c r="A51" s="1592" t="s">
        <v>245</v>
      </c>
      <c r="B51" s="1592"/>
      <c r="C51" s="1592"/>
      <c r="D51" s="50"/>
      <c r="E51" s="50"/>
      <c r="F51" s="49"/>
      <c r="G51" s="49"/>
      <c r="H51" s="49"/>
      <c r="I51" s="49"/>
      <c r="J51" s="49"/>
      <c r="K51" s="49"/>
      <c r="L51" s="49"/>
      <c r="M51" s="49"/>
    </row>
    <row r="52" spans="1:14" ht="16.5" customHeight="1" x14ac:dyDescent="0.25">
      <c r="A52" s="49"/>
      <c r="B52" s="49"/>
      <c r="C52" s="49"/>
      <c r="D52" s="49"/>
      <c r="E52" s="49"/>
      <c r="F52" s="49"/>
      <c r="G52" s="49"/>
      <c r="H52" s="49"/>
      <c r="I52" s="49"/>
      <c r="J52" s="49"/>
      <c r="K52" s="49"/>
      <c r="L52" s="49"/>
      <c r="M52" s="49"/>
    </row>
    <row r="53" spans="1:14" x14ac:dyDescent="0.25">
      <c r="A53" s="49"/>
      <c r="B53" s="581" t="s">
        <v>827</v>
      </c>
      <c r="C53" s="50"/>
      <c r="D53" s="50"/>
      <c r="E53" s="50"/>
      <c r="F53" s="49"/>
      <c r="G53" s="49"/>
      <c r="H53" s="49"/>
      <c r="I53" s="49"/>
      <c r="J53" s="49"/>
      <c r="K53" s="49"/>
      <c r="L53" s="49"/>
      <c r="M53" s="49"/>
    </row>
    <row r="54" spans="1:14" ht="16.5" customHeight="1" x14ac:dyDescent="0.25">
      <c r="A54" s="49"/>
      <c r="B54" s="49"/>
      <c r="C54" s="49"/>
      <c r="D54" s="49"/>
      <c r="E54" s="49"/>
      <c r="F54" s="49"/>
      <c r="G54" s="49"/>
      <c r="H54" s="49"/>
      <c r="I54" s="49"/>
      <c r="J54" s="49"/>
      <c r="K54" s="49"/>
      <c r="L54" s="49"/>
      <c r="M54" s="49"/>
    </row>
    <row r="55" spans="1:14" ht="16.5" customHeight="1" x14ac:dyDescent="0.25">
      <c r="A55" s="1592" t="s">
        <v>23</v>
      </c>
      <c r="B55" s="1592"/>
      <c r="C55" s="1592"/>
      <c r="D55" s="50"/>
      <c r="E55" s="50"/>
      <c r="F55" s="49"/>
      <c r="G55" s="49"/>
      <c r="H55" s="49"/>
      <c r="I55" s="49"/>
      <c r="J55" s="49"/>
      <c r="K55" s="49"/>
      <c r="L55" s="49"/>
      <c r="M55" s="49"/>
    </row>
    <row r="56" spans="1:14" x14ac:dyDescent="0.25">
      <c r="A56" s="50"/>
      <c r="B56" s="50"/>
      <c r="C56" s="50"/>
      <c r="D56" s="50"/>
      <c r="E56" s="50"/>
      <c r="F56" s="49"/>
      <c r="G56" s="49"/>
      <c r="H56" s="49"/>
      <c r="I56" s="49"/>
      <c r="J56" s="49"/>
      <c r="K56" s="49"/>
      <c r="L56" s="49"/>
      <c r="M56" s="49"/>
    </row>
    <row r="57" spans="1:14" x14ac:dyDescent="0.25">
      <c r="A57" s="50"/>
      <c r="B57" s="1597" t="s">
        <v>1272</v>
      </c>
      <c r="C57" s="1597"/>
      <c r="D57" s="1597"/>
      <c r="E57" s="1597"/>
      <c r="F57" s="1597"/>
      <c r="G57" s="49"/>
      <c r="H57" s="49"/>
      <c r="I57" s="49"/>
      <c r="J57" s="49"/>
      <c r="K57" s="49"/>
      <c r="L57" s="49"/>
      <c r="M57" s="49"/>
    </row>
    <row r="58" spans="1:14" ht="18" customHeight="1" x14ac:dyDescent="0.25">
      <c r="A58" s="50"/>
      <c r="B58" s="50"/>
      <c r="C58" s="50"/>
      <c r="D58" s="50"/>
      <c r="E58" s="50"/>
      <c r="F58" s="49"/>
      <c r="G58" s="49"/>
      <c r="H58" s="49"/>
      <c r="I58" s="49"/>
      <c r="J58" s="49"/>
      <c r="K58" s="49"/>
      <c r="L58" s="49"/>
      <c r="M58" s="49"/>
    </row>
    <row r="59" spans="1:14" ht="18" customHeight="1" x14ac:dyDescent="0.25">
      <c r="A59" s="50"/>
      <c r="B59" s="720" t="s">
        <v>1271</v>
      </c>
      <c r="C59" s="50"/>
      <c r="D59" s="50"/>
      <c r="E59" s="50"/>
      <c r="F59" s="49"/>
      <c r="G59" s="49"/>
      <c r="H59" s="49"/>
      <c r="I59" s="49"/>
      <c r="J59" s="49"/>
      <c r="K59" s="49"/>
      <c r="L59" s="49"/>
      <c r="M59" s="49"/>
    </row>
    <row r="60" spans="1:14" ht="18" customHeight="1" x14ac:dyDescent="0.25">
      <c r="A60" s="49"/>
      <c r="B60" s="49"/>
      <c r="C60" s="1598" t="s">
        <v>1510</v>
      </c>
      <c r="D60" s="1599"/>
      <c r="E60" s="465" t="s">
        <v>1511</v>
      </c>
      <c r="F60" s="465" t="s">
        <v>1512</v>
      </c>
      <c r="G60" s="466" t="s">
        <v>805</v>
      </c>
      <c r="H60" s="49"/>
      <c r="I60" s="49"/>
      <c r="J60" s="49"/>
      <c r="K60" s="49"/>
      <c r="L60" s="49"/>
      <c r="M60" s="49"/>
      <c r="N60" s="49"/>
    </row>
    <row r="61" spans="1:14" ht="27" customHeight="1" x14ac:dyDescent="0.25">
      <c r="A61" s="49"/>
      <c r="B61" s="468" t="s">
        <v>806</v>
      </c>
      <c r="C61" s="1595"/>
      <c r="D61" s="1595"/>
      <c r="E61" s="444"/>
      <c r="F61" s="444"/>
      <c r="G61" s="461">
        <f>IFERROR(E61/F61,0)</f>
        <v>0</v>
      </c>
      <c r="H61" s="49"/>
      <c r="I61" s="49"/>
      <c r="J61" s="49"/>
      <c r="K61" s="49"/>
      <c r="L61" s="49"/>
      <c r="M61" s="49"/>
      <c r="N61" s="49"/>
    </row>
    <row r="62" spans="1:14" ht="27" customHeight="1" x14ac:dyDescent="0.25">
      <c r="A62" s="49"/>
      <c r="B62" s="468" t="s">
        <v>807</v>
      </c>
      <c r="C62" s="1596"/>
      <c r="D62" s="1596"/>
      <c r="E62" s="446"/>
      <c r="F62" s="446"/>
      <c r="G62" s="460">
        <f>IFERROR(E62/F62,0)</f>
        <v>0</v>
      </c>
      <c r="H62" s="49"/>
      <c r="I62" s="49"/>
      <c r="J62" s="49"/>
      <c r="K62" s="49"/>
      <c r="L62" s="49"/>
      <c r="M62" s="49"/>
      <c r="N62" s="49"/>
    </row>
    <row r="63" spans="1:14" x14ac:dyDescent="0.25">
      <c r="A63" s="49"/>
      <c r="B63" s="49"/>
      <c r="C63" s="49"/>
      <c r="D63" s="49"/>
      <c r="E63" s="49"/>
      <c r="F63" s="49"/>
      <c r="G63" s="49"/>
      <c r="H63" s="49"/>
      <c r="I63" s="49"/>
      <c r="J63" s="49"/>
      <c r="K63" s="49"/>
      <c r="L63" s="49"/>
      <c r="M63" s="49"/>
    </row>
    <row r="64" spans="1:14" ht="20.25" customHeight="1" x14ac:dyDescent="0.25">
      <c r="A64" s="49"/>
      <c r="B64" s="1594" t="s">
        <v>49</v>
      </c>
      <c r="C64" s="1594"/>
      <c r="D64" s="222" t="str">
        <f>IFERROR(IF(AND(F61&lt;&gt;"",F62&lt;&gt;"",F61=0,F62=0),0,(E61+E62)/(F61+F62)),"")</f>
        <v/>
      </c>
      <c r="E64" s="50"/>
      <c r="F64" s="49"/>
      <c r="G64" s="49"/>
      <c r="H64" s="49"/>
      <c r="I64" s="49"/>
      <c r="J64" s="49"/>
      <c r="K64" s="49"/>
      <c r="L64" s="49"/>
      <c r="M64" s="49"/>
    </row>
    <row r="65" spans="1:13" ht="15" customHeight="1" x14ac:dyDescent="0.25">
      <c r="A65" s="49"/>
      <c r="B65" s="49"/>
      <c r="C65" s="49"/>
      <c r="D65" s="49"/>
      <c r="E65" s="50"/>
      <c r="F65" s="49"/>
      <c r="G65" s="49"/>
      <c r="H65" s="49"/>
      <c r="I65" s="49"/>
      <c r="J65" s="49"/>
      <c r="K65" s="49"/>
      <c r="L65" s="49"/>
      <c r="M65" s="49"/>
    </row>
    <row r="66" spans="1:13" ht="16.5" customHeight="1" x14ac:dyDescent="0.25">
      <c r="A66" s="1592" t="s">
        <v>186</v>
      </c>
      <c r="B66" s="1592"/>
      <c r="C66" s="1592"/>
      <c r="D66" s="49"/>
      <c r="E66" s="49"/>
      <c r="F66" s="49"/>
      <c r="G66" s="49"/>
      <c r="H66" s="49"/>
      <c r="I66" s="49"/>
      <c r="J66" s="49"/>
      <c r="K66" s="49"/>
      <c r="L66" s="49"/>
      <c r="M66" s="49"/>
    </row>
    <row r="67" spans="1:13" x14ac:dyDescent="0.25">
      <c r="A67" s="49"/>
      <c r="B67" s="49"/>
      <c r="C67" s="49"/>
      <c r="D67" s="49"/>
      <c r="E67" s="49"/>
      <c r="F67" s="49"/>
      <c r="G67" s="49"/>
      <c r="H67" s="49"/>
      <c r="I67" s="49"/>
      <c r="J67" s="49"/>
      <c r="K67" s="49"/>
      <c r="L67" s="49"/>
      <c r="M67" s="49"/>
    </row>
    <row r="68" spans="1:13" ht="18" customHeight="1" x14ac:dyDescent="0.25">
      <c r="A68" s="49"/>
      <c r="B68" s="1582" t="s">
        <v>1739</v>
      </c>
      <c r="C68" s="1583"/>
      <c r="D68" s="1583"/>
      <c r="E68" s="1583"/>
      <c r="F68" s="1583"/>
      <c r="G68" s="934" t="s">
        <v>1737</v>
      </c>
      <c r="H68" s="1589" t="s">
        <v>1738</v>
      </c>
      <c r="I68" s="1590"/>
      <c r="J68" s="49"/>
      <c r="K68" s="49"/>
      <c r="L68" s="49"/>
      <c r="M68" s="49"/>
    </row>
    <row r="69" spans="1:13" ht="24" customHeight="1" x14ac:dyDescent="0.25">
      <c r="A69" s="49"/>
      <c r="B69" s="1576" t="s">
        <v>1122</v>
      </c>
      <c r="C69" s="1577"/>
      <c r="D69" s="1577"/>
      <c r="E69" s="1577"/>
      <c r="F69" s="1578"/>
      <c r="G69" s="1164" t="s">
        <v>124</v>
      </c>
      <c r="H69" s="1587"/>
      <c r="I69" s="1588"/>
      <c r="J69" s="49"/>
      <c r="K69" s="49"/>
      <c r="L69" s="49"/>
      <c r="M69" s="49"/>
    </row>
    <row r="70" spans="1:13" ht="24" customHeight="1" x14ac:dyDescent="0.25">
      <c r="A70" s="49"/>
      <c r="B70" s="1576" t="s">
        <v>1121</v>
      </c>
      <c r="C70" s="1577"/>
      <c r="D70" s="1577"/>
      <c r="E70" s="1577"/>
      <c r="F70" s="1578"/>
      <c r="G70" s="1164" t="s">
        <v>124</v>
      </c>
      <c r="H70" s="1587"/>
      <c r="I70" s="1588"/>
      <c r="J70" s="49"/>
      <c r="K70" s="49"/>
      <c r="L70" s="49"/>
      <c r="M70" s="49"/>
    </row>
    <row r="71" spans="1:13" ht="15" customHeight="1" x14ac:dyDescent="0.25">
      <c r="A71" s="49"/>
      <c r="B71" s="49"/>
      <c r="C71" s="49"/>
      <c r="D71" s="49"/>
      <c r="E71" s="49"/>
      <c r="F71" s="49"/>
      <c r="G71" s="49"/>
      <c r="H71" s="49"/>
      <c r="I71" s="49"/>
      <c r="J71" s="49"/>
      <c r="K71" s="49"/>
      <c r="L71" s="49"/>
      <c r="M71" s="49"/>
    </row>
    <row r="72" spans="1:13" ht="16.5" customHeight="1" x14ac:dyDescent="0.25">
      <c r="A72" s="1592" t="s">
        <v>22</v>
      </c>
      <c r="B72" s="1592"/>
      <c r="C72" s="1592"/>
      <c r="D72" s="49"/>
      <c r="E72" s="49"/>
      <c r="F72" s="49"/>
      <c r="G72" s="49"/>
      <c r="H72" s="49"/>
      <c r="I72" s="49"/>
      <c r="J72" s="49"/>
      <c r="K72" s="49"/>
      <c r="L72" s="49"/>
      <c r="M72" s="49"/>
    </row>
    <row r="73" spans="1:13" ht="15" customHeight="1" x14ac:dyDescent="0.25">
      <c r="A73" s="49"/>
      <c r="B73" s="49"/>
      <c r="C73" s="49"/>
      <c r="D73" s="49"/>
      <c r="E73" s="49"/>
      <c r="F73" s="49"/>
      <c r="G73" s="49"/>
      <c r="H73" s="49"/>
      <c r="I73" s="49"/>
      <c r="J73" s="49"/>
      <c r="K73" s="49"/>
      <c r="L73" s="49"/>
      <c r="M73" s="49"/>
    </row>
    <row r="74" spans="1:13" ht="18" customHeight="1" x14ac:dyDescent="0.25">
      <c r="A74" s="49"/>
      <c r="B74" s="171" t="s">
        <v>53</v>
      </c>
      <c r="C74" s="1328">
        <f>IF(D64=0,2,IF(D64&lt;=0.15,2,IF(D64&lt;=0.3,1,0)))</f>
        <v>0</v>
      </c>
      <c r="D74" s="49"/>
      <c r="E74" s="50"/>
      <c r="F74" s="49"/>
      <c r="G74" s="49"/>
      <c r="H74" s="49"/>
      <c r="I74" s="49"/>
      <c r="J74" s="49"/>
      <c r="K74" s="49"/>
      <c r="L74" s="49"/>
      <c r="M74" s="49"/>
    </row>
    <row r="75" spans="1:13" ht="18" customHeight="1" x14ac:dyDescent="0.25">
      <c r="A75" s="49"/>
      <c r="B75" s="171" t="s">
        <v>492</v>
      </c>
      <c r="C75" s="1328" t="str">
        <f>IF(AND(G69="Submitted",G70="Submitted",C74&gt;0),"Yes","No")</f>
        <v>No</v>
      </c>
      <c r="D75" s="49"/>
      <c r="E75" s="50"/>
      <c r="F75" s="49"/>
      <c r="G75" s="49"/>
      <c r="H75" s="49"/>
      <c r="I75" s="49"/>
      <c r="J75" s="49"/>
      <c r="K75" s="49"/>
      <c r="L75" s="49"/>
      <c r="M75" s="49"/>
    </row>
    <row r="76" spans="1:13" ht="18.75" customHeight="1" x14ac:dyDescent="0.25">
      <c r="A76" s="49"/>
      <c r="B76" s="49"/>
      <c r="C76" s="49"/>
      <c r="D76" s="49"/>
      <c r="E76" s="49"/>
      <c r="F76" s="49"/>
      <c r="G76" s="49"/>
      <c r="H76" s="49"/>
      <c r="I76" s="49"/>
      <c r="J76" s="49"/>
      <c r="K76" s="49"/>
      <c r="L76" s="49"/>
      <c r="M76" s="49"/>
    </row>
    <row r="77" spans="1:13" ht="18" customHeight="1" x14ac:dyDescent="0.25">
      <c r="A77" s="1591" t="s">
        <v>222</v>
      </c>
      <c r="B77" s="1591"/>
      <c r="C77" s="1591"/>
      <c r="D77" s="1591"/>
      <c r="E77" s="1591"/>
      <c r="F77" s="1591"/>
      <c r="G77" s="1591"/>
      <c r="H77" s="1591"/>
      <c r="I77" s="1591"/>
      <c r="J77" s="1591"/>
      <c r="K77" s="1591"/>
      <c r="L77" s="1591"/>
      <c r="M77" s="1591"/>
    </row>
    <row r="78" spans="1:13" ht="16.5" customHeight="1" x14ac:dyDescent="0.25">
      <c r="A78" s="49"/>
      <c r="B78" s="49"/>
      <c r="C78" s="49"/>
      <c r="D78" s="49"/>
      <c r="E78" s="49"/>
      <c r="F78" s="49"/>
      <c r="G78" s="49"/>
      <c r="H78" s="49"/>
      <c r="I78" s="49"/>
      <c r="J78" s="49"/>
      <c r="K78" s="49"/>
      <c r="L78" s="49"/>
      <c r="M78" s="49"/>
    </row>
    <row r="79" spans="1:13" ht="16.5" customHeight="1" x14ac:dyDescent="0.25">
      <c r="A79" s="1592" t="s">
        <v>245</v>
      </c>
      <c r="B79" s="1592"/>
      <c r="C79" s="1592"/>
      <c r="D79" s="50"/>
      <c r="E79" s="50"/>
      <c r="F79" s="49"/>
      <c r="G79" s="49"/>
      <c r="H79" s="49"/>
      <c r="I79" s="49"/>
      <c r="J79" s="49"/>
      <c r="K79" s="49"/>
      <c r="L79" s="49"/>
      <c r="M79" s="49"/>
    </row>
    <row r="80" spans="1:13" x14ac:dyDescent="0.25">
      <c r="A80" s="50"/>
      <c r="B80" s="50"/>
      <c r="C80" s="50"/>
      <c r="D80" s="50"/>
      <c r="E80" s="50"/>
      <c r="F80" s="49"/>
      <c r="G80" s="49"/>
      <c r="H80" s="49"/>
      <c r="I80" s="49"/>
      <c r="J80" s="49"/>
      <c r="K80" s="49"/>
      <c r="L80" s="49"/>
      <c r="M80" s="49"/>
    </row>
    <row r="81" spans="1:13" ht="16.5" customHeight="1" x14ac:dyDescent="0.25">
      <c r="A81" s="49"/>
      <c r="B81" s="1579" t="s">
        <v>1573</v>
      </c>
      <c r="C81" s="1580"/>
      <c r="D81" s="1580"/>
      <c r="E81" s="1580"/>
      <c r="F81" s="1580"/>
      <c r="G81" s="1580"/>
      <c r="H81" s="1580"/>
      <c r="I81" s="1581"/>
      <c r="J81" s="49"/>
      <c r="K81" s="49"/>
      <c r="L81" s="49"/>
      <c r="M81" s="49"/>
    </row>
    <row r="82" spans="1:13" ht="16.5" customHeight="1" x14ac:dyDescent="0.25">
      <c r="A82" s="49"/>
      <c r="B82" s="1567" t="s">
        <v>2437</v>
      </c>
      <c r="C82" s="1568"/>
      <c r="D82" s="1568"/>
      <c r="E82" s="1568"/>
      <c r="F82" s="1568"/>
      <c r="G82" s="1568"/>
      <c r="H82" s="1568"/>
      <c r="I82" s="1569"/>
      <c r="J82" s="49"/>
      <c r="K82" s="49"/>
      <c r="L82" s="49"/>
      <c r="M82" s="49"/>
    </row>
    <row r="83" spans="1:13" ht="16.5" customHeight="1" x14ac:dyDescent="0.25">
      <c r="A83" s="49"/>
      <c r="B83" s="1564" t="s">
        <v>2445</v>
      </c>
      <c r="C83" s="1565"/>
      <c r="D83" s="1565"/>
      <c r="E83" s="1565"/>
      <c r="F83" s="1565"/>
      <c r="G83" s="1565"/>
      <c r="H83" s="1565"/>
      <c r="I83" s="1566"/>
      <c r="J83" s="49"/>
      <c r="K83" s="49"/>
      <c r="L83" s="49"/>
      <c r="M83" s="49"/>
    </row>
    <row r="84" spans="1:13" ht="16.5" customHeight="1" x14ac:dyDescent="0.25">
      <c r="A84" s="49"/>
      <c r="B84" s="1564" t="s">
        <v>2438</v>
      </c>
      <c r="C84" s="1565"/>
      <c r="D84" s="1565"/>
      <c r="E84" s="1565"/>
      <c r="F84" s="1565"/>
      <c r="G84" s="1565"/>
      <c r="H84" s="1565"/>
      <c r="I84" s="1566"/>
      <c r="J84" s="49"/>
      <c r="K84" s="49"/>
      <c r="L84" s="49"/>
      <c r="M84" s="49"/>
    </row>
    <row r="85" spans="1:13" ht="16.5" customHeight="1" x14ac:dyDescent="0.25">
      <c r="A85" s="49"/>
      <c r="B85" s="1564" t="s">
        <v>2439</v>
      </c>
      <c r="C85" s="1565"/>
      <c r="D85" s="1565"/>
      <c r="E85" s="1565"/>
      <c r="F85" s="1565"/>
      <c r="G85" s="1565"/>
      <c r="H85" s="1565"/>
      <c r="I85" s="1566"/>
      <c r="J85" s="49"/>
      <c r="K85" s="49"/>
      <c r="L85" s="49"/>
      <c r="M85" s="49"/>
    </row>
    <row r="86" spans="1:13" ht="16.5" customHeight="1" x14ac:dyDescent="0.25">
      <c r="A86" s="49"/>
      <c r="B86" s="1567" t="s">
        <v>2440</v>
      </c>
      <c r="C86" s="1568"/>
      <c r="D86" s="1568"/>
      <c r="E86" s="1568"/>
      <c r="F86" s="1568"/>
      <c r="G86" s="1568"/>
      <c r="H86" s="1568"/>
      <c r="I86" s="1569"/>
      <c r="J86" s="49"/>
      <c r="K86" s="49"/>
      <c r="L86" s="49"/>
      <c r="M86" s="49"/>
    </row>
    <row r="87" spans="1:13" ht="16.5" customHeight="1" x14ac:dyDescent="0.25">
      <c r="A87" s="49"/>
      <c r="B87" s="1564" t="s">
        <v>2438</v>
      </c>
      <c r="C87" s="1565"/>
      <c r="D87" s="1565"/>
      <c r="E87" s="1565"/>
      <c r="F87" s="1565"/>
      <c r="G87" s="1565"/>
      <c r="H87" s="1565"/>
      <c r="I87" s="1566"/>
      <c r="J87" s="49"/>
      <c r="K87" s="49"/>
      <c r="L87" s="49"/>
      <c r="M87" s="49"/>
    </row>
    <row r="88" spans="1:13" ht="16.5" customHeight="1" x14ac:dyDescent="0.25">
      <c r="A88" s="49"/>
      <c r="B88" s="1570" t="s">
        <v>2439</v>
      </c>
      <c r="C88" s="1571"/>
      <c r="D88" s="1571"/>
      <c r="E88" s="1571"/>
      <c r="F88" s="1571"/>
      <c r="G88" s="1571"/>
      <c r="H88" s="1571"/>
      <c r="I88" s="1572"/>
      <c r="J88" s="49"/>
      <c r="K88" s="49"/>
      <c r="L88" s="49"/>
      <c r="M88" s="49"/>
    </row>
    <row r="89" spans="1:13" ht="16.5" customHeight="1" x14ac:dyDescent="0.25">
      <c r="A89" s="49"/>
      <c r="B89" s="49"/>
      <c r="C89" s="49"/>
      <c r="D89" s="49"/>
      <c r="E89" s="49"/>
      <c r="F89" s="49"/>
      <c r="G89" s="83"/>
      <c r="H89" s="83"/>
      <c r="I89" s="83"/>
      <c r="J89" s="83"/>
      <c r="K89" s="83"/>
      <c r="L89" s="83"/>
      <c r="M89" s="83"/>
    </row>
    <row r="90" spans="1:13" ht="16.5" customHeight="1" x14ac:dyDescent="0.25">
      <c r="A90" s="49"/>
      <c r="B90" s="1573" t="s">
        <v>2441</v>
      </c>
      <c r="C90" s="1574"/>
      <c r="D90" s="1574"/>
      <c r="E90" s="1574"/>
      <c r="F90" s="1574"/>
      <c r="G90" s="1574"/>
      <c r="H90" s="1574"/>
      <c r="I90" s="1575"/>
      <c r="J90" s="1286"/>
      <c r="K90" s="1286"/>
      <c r="L90" s="1286"/>
      <c r="M90" s="1286"/>
    </row>
    <row r="91" spans="1:13" ht="16.5" customHeight="1" x14ac:dyDescent="0.25">
      <c r="A91" s="49"/>
      <c r="B91" s="1561" t="s">
        <v>2442</v>
      </c>
      <c r="C91" s="1562"/>
      <c r="D91" s="1562"/>
      <c r="E91" s="1562"/>
      <c r="F91" s="1562"/>
      <c r="G91" s="1562"/>
      <c r="H91" s="1562"/>
      <c r="I91" s="1563"/>
      <c r="J91" s="1286"/>
      <c r="K91" s="1286"/>
      <c r="L91" s="1286"/>
      <c r="M91" s="1286"/>
    </row>
    <row r="92" spans="1:13" ht="19.5" customHeight="1" x14ac:dyDescent="0.25">
      <c r="A92" s="49"/>
      <c r="B92" s="49"/>
      <c r="C92" s="49"/>
      <c r="D92" s="49"/>
      <c r="E92" s="49"/>
      <c r="F92" s="49"/>
      <c r="G92" s="83"/>
      <c r="H92" s="83"/>
      <c r="I92" s="83"/>
      <c r="J92" s="83"/>
      <c r="K92" s="83"/>
      <c r="L92" s="83"/>
      <c r="M92" s="83"/>
    </row>
    <row r="93" spans="1:13" ht="16.5" customHeight="1" x14ac:dyDescent="0.25">
      <c r="A93" s="49"/>
      <c r="B93" s="423" t="s">
        <v>813</v>
      </c>
      <c r="C93" s="49"/>
      <c r="D93" s="49"/>
      <c r="E93" s="49"/>
      <c r="F93" s="49"/>
      <c r="G93" s="49"/>
      <c r="H93" s="49"/>
      <c r="I93" s="49"/>
      <c r="J93" s="49"/>
      <c r="K93" s="49"/>
      <c r="L93" s="49"/>
      <c r="M93" s="49"/>
    </row>
    <row r="94" spans="1:13" ht="12" customHeight="1" x14ac:dyDescent="0.25">
      <c r="A94" s="49"/>
      <c r="B94" s="423"/>
      <c r="C94" s="49"/>
      <c r="D94" s="49"/>
      <c r="E94" s="49"/>
      <c r="F94" s="49"/>
      <c r="G94" s="49"/>
      <c r="H94" s="49"/>
      <c r="I94" s="49"/>
      <c r="J94" s="49"/>
      <c r="K94" s="49"/>
      <c r="L94" s="49"/>
      <c r="M94" s="49"/>
    </row>
    <row r="95" spans="1:13" ht="16.5" customHeight="1" x14ac:dyDescent="0.25">
      <c r="A95" s="49"/>
      <c r="B95" s="1597" t="s">
        <v>2446</v>
      </c>
      <c r="C95" s="1597"/>
      <c r="D95" s="1597"/>
      <c r="E95" s="1597"/>
      <c r="F95" s="1597"/>
      <c r="G95" s="49"/>
      <c r="H95" s="49"/>
      <c r="I95" s="49"/>
      <c r="J95" s="49"/>
      <c r="K95" s="49"/>
      <c r="L95" s="49"/>
      <c r="M95" s="49"/>
    </row>
    <row r="96" spans="1:13" x14ac:dyDescent="0.25">
      <c r="A96" s="49"/>
      <c r="B96" s="423"/>
      <c r="C96" s="49"/>
      <c r="D96" s="49"/>
      <c r="E96" s="49"/>
      <c r="F96" s="49"/>
      <c r="G96" s="49"/>
      <c r="H96" s="49"/>
      <c r="I96" s="49"/>
      <c r="J96" s="49"/>
      <c r="K96" s="49"/>
      <c r="L96" s="49"/>
      <c r="M96" s="49"/>
    </row>
    <row r="97" spans="1:13" ht="18" customHeight="1" x14ac:dyDescent="0.25">
      <c r="A97" s="49"/>
      <c r="B97" s="463" t="s">
        <v>814</v>
      </c>
      <c r="C97" s="1287" t="s">
        <v>1479</v>
      </c>
      <c r="D97" s="1288" t="s">
        <v>2443</v>
      </c>
      <c r="E97" s="1288" t="s">
        <v>2444</v>
      </c>
      <c r="F97" s="49"/>
      <c r="G97" s="49"/>
      <c r="H97" s="49"/>
      <c r="I97" s="49"/>
      <c r="J97" s="49"/>
      <c r="K97" s="49"/>
      <c r="L97" s="49"/>
      <c r="M97" s="49"/>
    </row>
    <row r="98" spans="1:13" ht="17.25" customHeight="1" x14ac:dyDescent="0.25">
      <c r="A98" s="49"/>
      <c r="B98" s="1284"/>
      <c r="C98" s="1284"/>
      <c r="D98" s="1284" t="s">
        <v>124</v>
      </c>
      <c r="E98" s="1298" t="str">
        <f t="shared" ref="E98:E105" si="0">IF(C98="","",IF(AND(D98&lt;&gt;"Select",D98&lt;&gt;"None"),"Yes","No"))</f>
        <v/>
      </c>
      <c r="F98" s="49"/>
      <c r="G98" s="49"/>
      <c r="H98" s="49"/>
      <c r="I98" s="49"/>
      <c r="J98" s="49"/>
      <c r="K98" s="49"/>
      <c r="L98" s="49"/>
      <c r="M98" s="49"/>
    </row>
    <row r="99" spans="1:13" ht="17.25" customHeight="1" x14ac:dyDescent="0.25">
      <c r="A99" s="49"/>
      <c r="B99" s="1285"/>
      <c r="C99" s="1285"/>
      <c r="D99" s="1284" t="s">
        <v>124</v>
      </c>
      <c r="E99" s="1298" t="str">
        <f t="shared" si="0"/>
        <v/>
      </c>
      <c r="F99" s="49"/>
      <c r="G99" s="49"/>
      <c r="H99" s="49"/>
      <c r="I99" s="49"/>
      <c r="J99" s="49"/>
      <c r="K99" s="49"/>
      <c r="L99" s="49"/>
      <c r="M99" s="49"/>
    </row>
    <row r="100" spans="1:13" ht="17.25" customHeight="1" x14ac:dyDescent="0.25">
      <c r="A100" s="49"/>
      <c r="B100" s="1285"/>
      <c r="C100" s="1285"/>
      <c r="D100" s="1284" t="s">
        <v>124</v>
      </c>
      <c r="E100" s="1298" t="str">
        <f t="shared" si="0"/>
        <v/>
      </c>
      <c r="F100" s="49"/>
      <c r="G100" s="49"/>
      <c r="H100" s="49"/>
      <c r="I100" s="49"/>
      <c r="J100" s="49"/>
      <c r="K100" s="49"/>
      <c r="L100" s="49"/>
      <c r="M100" s="49"/>
    </row>
    <row r="101" spans="1:13" ht="17.25" customHeight="1" x14ac:dyDescent="0.25">
      <c r="A101" s="49"/>
      <c r="B101" s="1285"/>
      <c r="C101" s="1285"/>
      <c r="D101" s="1284" t="s">
        <v>124</v>
      </c>
      <c r="E101" s="1298" t="str">
        <f t="shared" si="0"/>
        <v/>
      </c>
      <c r="F101" s="49"/>
      <c r="G101" s="49"/>
      <c r="H101" s="49"/>
      <c r="I101" s="49"/>
      <c r="J101" s="49"/>
      <c r="K101" s="49"/>
      <c r="L101" s="49"/>
      <c r="M101" s="49"/>
    </row>
    <row r="102" spans="1:13" ht="17.25" customHeight="1" x14ac:dyDescent="0.25">
      <c r="A102" s="49"/>
      <c r="B102" s="1285"/>
      <c r="C102" s="1285"/>
      <c r="D102" s="1284" t="s">
        <v>124</v>
      </c>
      <c r="E102" s="1298" t="str">
        <f t="shared" si="0"/>
        <v/>
      </c>
      <c r="F102" s="49"/>
      <c r="G102" s="49"/>
      <c r="H102" s="49"/>
      <c r="I102" s="49"/>
      <c r="J102" s="49"/>
      <c r="K102" s="49"/>
      <c r="L102" s="49"/>
      <c r="M102" s="49"/>
    </row>
    <row r="103" spans="1:13" ht="17.25" customHeight="1" x14ac:dyDescent="0.25">
      <c r="A103" s="49"/>
      <c r="B103" s="1285"/>
      <c r="C103" s="1285"/>
      <c r="D103" s="1284" t="s">
        <v>124</v>
      </c>
      <c r="E103" s="1298" t="str">
        <f t="shared" si="0"/>
        <v/>
      </c>
      <c r="F103" s="49"/>
      <c r="G103" s="49"/>
      <c r="H103" s="49"/>
      <c r="I103" s="49"/>
      <c r="J103" s="49"/>
      <c r="K103" s="49"/>
      <c r="L103" s="49"/>
      <c r="M103" s="49"/>
    </row>
    <row r="104" spans="1:13" ht="17.25" customHeight="1" x14ac:dyDescent="0.25">
      <c r="A104" s="49"/>
      <c r="B104" s="1285"/>
      <c r="C104" s="1285"/>
      <c r="D104" s="1284" t="s">
        <v>124</v>
      </c>
      <c r="E104" s="1298" t="str">
        <f t="shared" si="0"/>
        <v/>
      </c>
      <c r="F104" s="49"/>
      <c r="G104" s="49"/>
      <c r="H104" s="49"/>
      <c r="I104" s="49"/>
      <c r="J104" s="49"/>
      <c r="K104" s="49"/>
      <c r="L104" s="49"/>
      <c r="M104" s="49"/>
    </row>
    <row r="105" spans="1:13" ht="17.25" customHeight="1" x14ac:dyDescent="0.25">
      <c r="A105" s="49"/>
      <c r="B105" s="1285"/>
      <c r="C105" s="1285"/>
      <c r="D105" s="1284" t="s">
        <v>124</v>
      </c>
      <c r="E105" s="1298" t="str">
        <f t="shared" si="0"/>
        <v/>
      </c>
      <c r="F105" s="49"/>
      <c r="G105" s="49"/>
      <c r="H105" s="49"/>
      <c r="I105" s="49"/>
      <c r="J105" s="49"/>
      <c r="K105" s="49"/>
      <c r="L105" s="49"/>
      <c r="M105" s="49"/>
    </row>
    <row r="106" spans="1:13" x14ac:dyDescent="0.25">
      <c r="A106" s="49"/>
      <c r="B106" s="423"/>
      <c r="C106" s="49"/>
      <c r="D106" s="49"/>
      <c r="E106" s="49"/>
      <c r="F106" s="49"/>
      <c r="G106" s="49"/>
      <c r="H106" s="49"/>
      <c r="I106" s="49"/>
      <c r="J106" s="49"/>
      <c r="K106" s="49"/>
      <c r="L106" s="49"/>
      <c r="M106" s="49"/>
    </row>
    <row r="107" spans="1:13" ht="18.75" customHeight="1" x14ac:dyDescent="0.25">
      <c r="A107" s="49"/>
      <c r="B107" s="1594" t="s">
        <v>2457</v>
      </c>
      <c r="C107" s="1594"/>
      <c r="D107" s="222" t="str">
        <f>IFERROR(SUMIF(E98:E105,"Yes",C98:C105)/SUM(C98:C105),"")</f>
        <v/>
      </c>
      <c r="E107" s="50"/>
      <c r="F107" s="49"/>
      <c r="G107" s="49"/>
      <c r="H107" s="49"/>
      <c r="I107" s="49"/>
      <c r="J107" s="49"/>
      <c r="K107" s="49"/>
      <c r="L107" s="49"/>
      <c r="M107" s="49"/>
    </row>
    <row r="108" spans="1:13" ht="18.75" customHeight="1" x14ac:dyDescent="0.25">
      <c r="A108" s="49"/>
      <c r="B108" s="49"/>
      <c r="C108" s="49"/>
      <c r="D108" s="49"/>
      <c r="E108" s="49"/>
      <c r="F108" s="49"/>
      <c r="G108" s="49"/>
      <c r="H108" s="49"/>
      <c r="I108" s="49"/>
      <c r="J108" s="49"/>
      <c r="K108" s="49"/>
      <c r="L108" s="49"/>
      <c r="M108" s="49"/>
    </row>
    <row r="109" spans="1:13" ht="18.75" customHeight="1" x14ac:dyDescent="0.25">
      <c r="A109" s="49"/>
      <c r="B109" s="423" t="s">
        <v>826</v>
      </c>
      <c r="C109" s="49"/>
      <c r="D109" s="49"/>
      <c r="E109" s="50"/>
      <c r="F109" s="49"/>
      <c r="G109" s="49"/>
      <c r="H109" s="49"/>
      <c r="I109" s="49"/>
      <c r="J109" s="49"/>
      <c r="K109" s="49"/>
      <c r="L109" s="49"/>
      <c r="M109" s="49"/>
    </row>
    <row r="110" spans="1:13" ht="14.25" customHeight="1" x14ac:dyDescent="0.25">
      <c r="A110" s="49"/>
      <c r="B110" s="423"/>
      <c r="C110" s="49"/>
      <c r="D110" s="49"/>
      <c r="E110" s="50"/>
      <c r="F110" s="49"/>
      <c r="G110" s="49"/>
      <c r="H110" s="49"/>
      <c r="I110" s="49"/>
      <c r="J110" s="49"/>
      <c r="K110" s="49"/>
      <c r="L110" s="49"/>
      <c r="M110" s="49"/>
    </row>
    <row r="111" spans="1:13" ht="15" customHeight="1" x14ac:dyDescent="0.25">
      <c r="A111" s="49"/>
      <c r="B111" s="1597" t="s">
        <v>2458</v>
      </c>
      <c r="C111" s="1597"/>
      <c r="D111" s="1597"/>
      <c r="E111" s="1597"/>
      <c r="F111" s="1597"/>
      <c r="G111" s="49"/>
      <c r="H111" s="49"/>
      <c r="I111" s="49"/>
      <c r="J111" s="49"/>
      <c r="K111" s="49"/>
      <c r="L111" s="49"/>
      <c r="M111" s="49"/>
    </row>
    <row r="112" spans="1:13" ht="9.75" customHeight="1" x14ac:dyDescent="0.25">
      <c r="A112" s="49"/>
      <c r="B112" s="423"/>
      <c r="C112" s="49"/>
      <c r="D112" s="49"/>
      <c r="E112" s="49"/>
      <c r="F112" s="49"/>
      <c r="G112" s="49"/>
      <c r="H112" s="49"/>
      <c r="I112" s="49"/>
      <c r="J112" s="49"/>
      <c r="K112" s="49"/>
      <c r="L112" s="49"/>
      <c r="M112" s="49"/>
    </row>
    <row r="113" spans="1:14" ht="18.75" customHeight="1" x14ac:dyDescent="0.25">
      <c r="A113" s="49"/>
      <c r="B113" s="463" t="s">
        <v>814</v>
      </c>
      <c r="C113" s="1287" t="s">
        <v>1479</v>
      </c>
      <c r="D113" s="1288" t="s">
        <v>2443</v>
      </c>
      <c r="E113" s="1288" t="s">
        <v>2444</v>
      </c>
      <c r="F113" s="49"/>
      <c r="G113" s="49"/>
      <c r="H113" s="49"/>
      <c r="I113" s="49"/>
      <c r="J113" s="49"/>
      <c r="K113" s="49"/>
      <c r="L113" s="49"/>
      <c r="M113" s="49"/>
      <c r="N113" s="80" t="b">
        <v>0</v>
      </c>
    </row>
    <row r="114" spans="1:14" ht="18.75" customHeight="1" x14ac:dyDescent="0.25">
      <c r="A114" s="49"/>
      <c r="B114" s="1284"/>
      <c r="C114" s="1284"/>
      <c r="D114" s="1284" t="s">
        <v>124</v>
      </c>
      <c r="E114" s="1298" t="str">
        <f t="shared" ref="E114:E121" si="1">IF(C114="","",IF(AND(D114&lt;&gt;"Select",D114&lt;&gt;"None"),"Yes","No"))</f>
        <v/>
      </c>
      <c r="F114" s="49"/>
      <c r="G114" s="49"/>
      <c r="H114" s="49"/>
      <c r="I114" s="49"/>
      <c r="J114" s="49"/>
      <c r="K114" s="49"/>
      <c r="L114" s="49"/>
      <c r="M114" s="49"/>
      <c r="N114" s="80"/>
    </row>
    <row r="115" spans="1:14" ht="18.75" customHeight="1" x14ac:dyDescent="0.25">
      <c r="A115" s="49"/>
      <c r="B115" s="1285"/>
      <c r="C115" s="1285"/>
      <c r="D115" s="1284" t="s">
        <v>124</v>
      </c>
      <c r="E115" s="1298" t="str">
        <f t="shared" si="1"/>
        <v/>
      </c>
      <c r="F115" s="49"/>
      <c r="G115" s="49"/>
      <c r="H115" s="49"/>
      <c r="I115" s="49"/>
      <c r="J115" s="49"/>
      <c r="K115" s="49"/>
      <c r="L115" s="49"/>
      <c r="M115" s="49"/>
      <c r="N115" s="80"/>
    </row>
    <row r="116" spans="1:14" ht="18.75" customHeight="1" x14ac:dyDescent="0.25">
      <c r="A116" s="49"/>
      <c r="B116" s="1285"/>
      <c r="C116" s="1285"/>
      <c r="D116" s="1284" t="s">
        <v>124</v>
      </c>
      <c r="E116" s="1298" t="str">
        <f t="shared" si="1"/>
        <v/>
      </c>
      <c r="F116" s="49"/>
      <c r="G116" s="49"/>
      <c r="H116" s="49"/>
      <c r="I116" s="49"/>
      <c r="J116" s="49"/>
      <c r="K116" s="49"/>
      <c r="L116" s="49"/>
      <c r="M116" s="49"/>
      <c r="N116" s="80"/>
    </row>
    <row r="117" spans="1:14" ht="18.75" customHeight="1" x14ac:dyDescent="0.25">
      <c r="A117" s="49"/>
      <c r="B117" s="1285"/>
      <c r="C117" s="1285"/>
      <c r="D117" s="1284" t="s">
        <v>124</v>
      </c>
      <c r="E117" s="1298" t="str">
        <f t="shared" si="1"/>
        <v/>
      </c>
      <c r="F117" s="49"/>
      <c r="G117" s="49"/>
      <c r="H117" s="49"/>
      <c r="I117" s="49"/>
      <c r="J117" s="49"/>
      <c r="K117" s="49"/>
      <c r="L117" s="49"/>
      <c r="M117" s="49"/>
      <c r="N117" s="80"/>
    </row>
    <row r="118" spans="1:14" ht="18.75" customHeight="1" x14ac:dyDescent="0.25">
      <c r="A118" s="49"/>
      <c r="B118" s="1285"/>
      <c r="C118" s="1285"/>
      <c r="D118" s="1284" t="s">
        <v>124</v>
      </c>
      <c r="E118" s="1298" t="str">
        <f t="shared" si="1"/>
        <v/>
      </c>
      <c r="F118" s="49"/>
      <c r="G118" s="49"/>
      <c r="H118" s="49"/>
      <c r="I118" s="49"/>
      <c r="J118" s="49"/>
      <c r="K118" s="49"/>
      <c r="L118" s="49"/>
      <c r="M118" s="49"/>
      <c r="N118" s="80"/>
    </row>
    <row r="119" spans="1:14" ht="18.75" customHeight="1" x14ac:dyDescent="0.25">
      <c r="A119" s="49"/>
      <c r="B119" s="1285"/>
      <c r="C119" s="1285"/>
      <c r="D119" s="1284" t="s">
        <v>124</v>
      </c>
      <c r="E119" s="1298" t="str">
        <f t="shared" si="1"/>
        <v/>
      </c>
      <c r="F119" s="49"/>
      <c r="G119" s="49"/>
      <c r="H119" s="49"/>
      <c r="I119" s="49"/>
      <c r="J119" s="49"/>
      <c r="K119" s="49"/>
      <c r="L119" s="49"/>
      <c r="M119" s="49"/>
      <c r="N119" s="80"/>
    </row>
    <row r="120" spans="1:14" ht="18.75" customHeight="1" x14ac:dyDescent="0.25">
      <c r="A120" s="49"/>
      <c r="B120" s="1285"/>
      <c r="C120" s="1285"/>
      <c r="D120" s="1284" t="s">
        <v>124</v>
      </c>
      <c r="E120" s="1298" t="str">
        <f t="shared" si="1"/>
        <v/>
      </c>
      <c r="F120" s="49"/>
      <c r="G120" s="49"/>
      <c r="H120" s="49"/>
      <c r="I120" s="49"/>
      <c r="J120" s="49"/>
      <c r="K120" s="49"/>
      <c r="L120" s="49"/>
      <c r="M120" s="49"/>
      <c r="N120" s="80"/>
    </row>
    <row r="121" spans="1:14" ht="18.75" customHeight="1" x14ac:dyDescent="0.25">
      <c r="A121" s="49"/>
      <c r="B121" s="1285"/>
      <c r="C121" s="1285"/>
      <c r="D121" s="1284" t="s">
        <v>124</v>
      </c>
      <c r="E121" s="1298" t="str">
        <f t="shared" si="1"/>
        <v/>
      </c>
      <c r="F121" s="49"/>
      <c r="G121" s="49"/>
      <c r="H121" s="49"/>
      <c r="I121" s="49"/>
      <c r="J121" s="49"/>
      <c r="K121" s="49"/>
      <c r="L121" s="49"/>
      <c r="M121" s="49"/>
      <c r="N121" s="80"/>
    </row>
    <row r="122" spans="1:14" ht="18.75" customHeight="1" x14ac:dyDescent="0.25">
      <c r="A122" s="49"/>
      <c r="B122" s="49"/>
      <c r="C122" s="49"/>
      <c r="D122" s="49"/>
      <c r="E122" s="50"/>
      <c r="F122" s="49"/>
      <c r="G122" s="49"/>
      <c r="H122" s="49"/>
      <c r="I122" s="49"/>
      <c r="J122" s="49"/>
      <c r="K122" s="49"/>
      <c r="L122" s="49"/>
      <c r="M122" s="49"/>
    </row>
    <row r="123" spans="1:14" ht="18.75" customHeight="1" x14ac:dyDescent="0.25">
      <c r="A123" s="49"/>
      <c r="B123" s="1594" t="s">
        <v>2457</v>
      </c>
      <c r="C123" s="1594"/>
      <c r="D123" s="222" t="str">
        <f>IFERROR(SUMIF(E114:E121,"Yes",C114:C121)/SUM(C114:C121),"")</f>
        <v/>
      </c>
      <c r="E123" s="50"/>
      <c r="F123" s="49"/>
      <c r="G123" s="49"/>
      <c r="H123" s="49"/>
      <c r="I123" s="49"/>
      <c r="J123" s="49"/>
      <c r="K123" s="49"/>
      <c r="L123" s="49"/>
      <c r="M123" s="49"/>
    </row>
    <row r="124" spans="1:14" ht="18.75" customHeight="1" x14ac:dyDescent="0.25">
      <c r="A124" s="49"/>
      <c r="B124" s="49"/>
      <c r="C124" s="49"/>
      <c r="D124" s="49"/>
      <c r="E124" s="50"/>
      <c r="F124" s="49"/>
      <c r="G124" s="49"/>
      <c r="H124" s="49"/>
      <c r="I124" s="49"/>
      <c r="J124" s="49"/>
      <c r="K124" s="49"/>
      <c r="L124" s="49"/>
      <c r="M124" s="49"/>
    </row>
    <row r="125" spans="1:14" ht="16.5" customHeight="1" x14ac:dyDescent="0.25">
      <c r="A125" s="1592" t="s">
        <v>186</v>
      </c>
      <c r="B125" s="1592"/>
      <c r="C125" s="1592"/>
      <c r="D125" s="49"/>
      <c r="E125" s="49"/>
      <c r="F125" s="49"/>
      <c r="G125" s="49"/>
      <c r="H125" s="49"/>
      <c r="I125" s="49"/>
      <c r="J125" s="49"/>
      <c r="K125" s="49"/>
      <c r="L125" s="49"/>
      <c r="M125" s="49"/>
    </row>
    <row r="126" spans="1:14" x14ac:dyDescent="0.25">
      <c r="A126" s="49"/>
      <c r="B126" s="49"/>
      <c r="C126" s="49"/>
      <c r="D126" s="49"/>
      <c r="E126" s="49"/>
      <c r="F126" s="49"/>
      <c r="G126" s="49"/>
      <c r="H126" s="49"/>
      <c r="I126" s="49"/>
      <c r="J126" s="49"/>
      <c r="K126" s="49"/>
      <c r="L126" s="49"/>
      <c r="M126" s="49"/>
    </row>
    <row r="127" spans="1:14" ht="18" customHeight="1" x14ac:dyDescent="0.25">
      <c r="A127" s="49"/>
      <c r="B127" s="1582" t="s">
        <v>1739</v>
      </c>
      <c r="C127" s="1583"/>
      <c r="D127" s="1583"/>
      <c r="E127" s="1583"/>
      <c r="F127" s="1583"/>
      <c r="G127" s="934" t="s">
        <v>1737</v>
      </c>
      <c r="H127" s="1589" t="s">
        <v>1738</v>
      </c>
      <c r="I127" s="1590"/>
      <c r="J127" s="49"/>
      <c r="K127" s="49"/>
      <c r="L127" s="49"/>
      <c r="M127" s="49"/>
    </row>
    <row r="128" spans="1:14" ht="24" customHeight="1" x14ac:dyDescent="0.25">
      <c r="A128" s="49"/>
      <c r="B128" s="1576" t="s">
        <v>1125</v>
      </c>
      <c r="C128" s="1577"/>
      <c r="D128" s="1577"/>
      <c r="E128" s="1577"/>
      <c r="F128" s="1578"/>
      <c r="G128" s="1164" t="s">
        <v>124</v>
      </c>
      <c r="H128" s="1587"/>
      <c r="I128" s="1588"/>
      <c r="J128" s="49"/>
      <c r="K128" s="49"/>
      <c r="L128" s="49"/>
      <c r="M128" s="49"/>
    </row>
    <row r="129" spans="1:13" ht="24" customHeight="1" x14ac:dyDescent="0.25">
      <c r="A129" s="49"/>
      <c r="B129" s="1576" t="s">
        <v>1126</v>
      </c>
      <c r="C129" s="1577"/>
      <c r="D129" s="1577"/>
      <c r="E129" s="1577"/>
      <c r="F129" s="1578"/>
      <c r="G129" s="1164" t="s">
        <v>124</v>
      </c>
      <c r="H129" s="1587"/>
      <c r="I129" s="1588"/>
      <c r="J129" s="49"/>
      <c r="K129" s="49"/>
      <c r="L129" s="49"/>
      <c r="M129" s="49"/>
    </row>
    <row r="130" spans="1:13" ht="17.25" customHeight="1" x14ac:dyDescent="0.25">
      <c r="A130" s="49"/>
      <c r="B130" s="49"/>
      <c r="C130" s="49"/>
      <c r="D130" s="49"/>
      <c r="E130" s="49"/>
      <c r="F130" s="49"/>
      <c r="G130" s="49"/>
      <c r="H130" s="49"/>
      <c r="I130" s="49"/>
      <c r="J130" s="49"/>
      <c r="K130" s="49"/>
      <c r="L130" s="49"/>
      <c r="M130" s="49"/>
    </row>
    <row r="131" spans="1:13" ht="16.5" customHeight="1" x14ac:dyDescent="0.25">
      <c r="A131" s="1592" t="s">
        <v>22</v>
      </c>
      <c r="B131" s="1592"/>
      <c r="C131" s="1592"/>
      <c r="D131" s="49"/>
      <c r="E131" s="49"/>
      <c r="F131" s="49"/>
      <c r="G131" s="49"/>
      <c r="H131" s="49"/>
      <c r="I131" s="49"/>
      <c r="J131" s="49"/>
      <c r="K131" s="49"/>
      <c r="L131" s="49"/>
      <c r="M131" s="49"/>
    </row>
    <row r="132" spans="1:13" ht="15" customHeight="1" x14ac:dyDescent="0.25">
      <c r="A132" s="49"/>
      <c r="B132" s="49"/>
      <c r="C132" s="49"/>
      <c r="D132" s="49"/>
      <c r="E132" s="49"/>
      <c r="F132" s="49"/>
      <c r="G132" s="49"/>
      <c r="H132" s="49"/>
      <c r="I132" s="49"/>
      <c r="J132" s="49"/>
      <c r="K132" s="49"/>
      <c r="L132" s="49"/>
      <c r="M132" s="49"/>
    </row>
    <row r="133" spans="1:13" ht="18" customHeight="1" x14ac:dyDescent="0.25">
      <c r="A133" s="49"/>
      <c r="B133" s="171" t="s">
        <v>53</v>
      </c>
      <c r="C133" s="1328">
        <f>IF(AND(D123&lt;&gt;"",D123&gt;=0.9),1,0)+IF(AND(D107&lt;&gt;"",D107&gt;=0.9),1,0)</f>
        <v>0</v>
      </c>
      <c r="D133" s="49"/>
      <c r="E133" s="50"/>
      <c r="F133" s="49"/>
      <c r="G133" s="49"/>
      <c r="H133" s="49"/>
      <c r="I133" s="49"/>
      <c r="J133" s="49"/>
      <c r="K133" s="49"/>
      <c r="L133" s="49"/>
      <c r="M133" s="49"/>
    </row>
    <row r="134" spans="1:13" ht="18" customHeight="1" x14ac:dyDescent="0.25">
      <c r="A134" s="49"/>
      <c r="B134" s="171" t="s">
        <v>492</v>
      </c>
      <c r="C134" s="1328" t="str">
        <f>IF(AND(G128="Submitted",G129="Submitted",C133&gt;0),"Yes","No")</f>
        <v>No</v>
      </c>
      <c r="D134" s="49"/>
      <c r="E134" s="49"/>
      <c r="F134" s="49"/>
      <c r="G134" s="49"/>
      <c r="H134" s="49"/>
      <c r="I134" s="49"/>
      <c r="J134" s="49"/>
      <c r="K134" s="49"/>
      <c r="L134" s="49"/>
      <c r="M134" s="49"/>
    </row>
    <row r="135" spans="1:13" ht="15" customHeight="1" x14ac:dyDescent="0.25">
      <c r="A135" s="49"/>
      <c r="B135" s="49"/>
      <c r="C135" s="49"/>
      <c r="D135" s="49"/>
      <c r="E135" s="49"/>
      <c r="F135" s="49"/>
      <c r="G135" s="49"/>
      <c r="H135" s="49"/>
      <c r="I135" s="49"/>
      <c r="J135" s="49"/>
      <c r="K135" s="49"/>
      <c r="L135" s="49"/>
      <c r="M135" s="49"/>
    </row>
    <row r="136" spans="1:13" ht="15" customHeight="1" x14ac:dyDescent="0.25">
      <c r="A136" s="49"/>
      <c r="B136" s="49"/>
      <c r="C136" s="49"/>
      <c r="D136" s="49"/>
      <c r="E136" s="49"/>
      <c r="F136" s="49"/>
      <c r="G136" s="49"/>
      <c r="H136" s="49"/>
      <c r="I136" s="49"/>
      <c r="J136" s="49"/>
      <c r="K136" s="49"/>
      <c r="L136" s="49"/>
      <c r="M136" s="49"/>
    </row>
    <row r="137" spans="1:13" ht="15" hidden="1" customHeight="1" x14ac:dyDescent="0.25">
      <c r="A137" s="49"/>
      <c r="B137" s="49"/>
      <c r="C137" s="49"/>
      <c r="D137" s="49"/>
      <c r="E137" s="49"/>
      <c r="F137" s="49"/>
      <c r="G137" s="49"/>
      <c r="H137" s="49"/>
      <c r="I137" s="49"/>
      <c r="J137" s="49"/>
      <c r="K137" s="49"/>
      <c r="L137" s="49"/>
      <c r="M137" s="49"/>
    </row>
    <row r="138" spans="1:13" ht="15" hidden="1" customHeight="1" x14ac:dyDescent="0.25">
      <c r="A138" s="49"/>
      <c r="B138" s="49"/>
      <c r="C138" s="49"/>
      <c r="D138" s="49"/>
      <c r="E138" s="49"/>
      <c r="F138" s="49"/>
      <c r="G138" s="49"/>
      <c r="H138" s="49"/>
      <c r="I138" s="49"/>
      <c r="J138" s="49"/>
      <c r="K138" s="49"/>
      <c r="L138" s="49"/>
      <c r="M138" s="49"/>
    </row>
    <row r="139" spans="1:13" ht="15" hidden="1" customHeight="1" x14ac:dyDescent="0.25">
      <c r="A139" s="49"/>
      <c r="B139" s="49"/>
      <c r="C139" s="49"/>
      <c r="D139" s="49"/>
      <c r="E139" s="49"/>
      <c r="F139" s="49"/>
      <c r="G139" s="49"/>
      <c r="H139" s="49"/>
      <c r="I139" s="49"/>
      <c r="J139" s="49"/>
      <c r="K139" s="49"/>
      <c r="L139" s="49"/>
      <c r="M139" s="49"/>
    </row>
    <row r="140" spans="1:13" ht="15" hidden="1" customHeight="1" x14ac:dyDescent="0.25">
      <c r="A140" s="49"/>
      <c r="B140" s="49"/>
      <c r="C140" s="49"/>
      <c r="D140" s="49"/>
      <c r="E140" s="49"/>
      <c r="F140" s="49"/>
      <c r="G140" s="49"/>
      <c r="H140" s="49"/>
      <c r="I140" s="49"/>
      <c r="J140" s="49"/>
      <c r="K140" s="49"/>
      <c r="L140" s="49"/>
      <c r="M140" s="49"/>
    </row>
    <row r="141" spans="1:13" ht="15" hidden="1" customHeight="1" x14ac:dyDescent="0.25">
      <c r="A141" s="49"/>
      <c r="B141" s="49"/>
      <c r="C141" s="49"/>
      <c r="D141" s="49"/>
      <c r="E141" s="49"/>
      <c r="F141" s="49"/>
      <c r="G141" s="49"/>
      <c r="H141" s="49"/>
      <c r="I141" s="49"/>
      <c r="J141" s="49"/>
      <c r="K141" s="49"/>
      <c r="L141" s="49"/>
      <c r="M141" s="49"/>
    </row>
    <row r="142" spans="1:13" ht="15" hidden="1" customHeight="1" x14ac:dyDescent="0.25">
      <c r="A142" s="49"/>
      <c r="B142" s="49"/>
      <c r="C142" s="49"/>
      <c r="D142" s="49"/>
      <c r="E142" s="49"/>
      <c r="F142" s="49"/>
      <c r="G142" s="49"/>
      <c r="H142" s="49"/>
      <c r="I142" s="49"/>
      <c r="J142" s="49"/>
      <c r="K142" s="49"/>
      <c r="L142" s="49"/>
      <c r="M142" s="49"/>
    </row>
    <row r="143" spans="1:13" ht="15" hidden="1" customHeight="1" x14ac:dyDescent="0.25">
      <c r="A143" s="49"/>
      <c r="B143" s="49"/>
      <c r="C143" s="49"/>
      <c r="D143" s="49"/>
      <c r="E143" s="49"/>
      <c r="F143" s="49"/>
      <c r="G143" s="49"/>
      <c r="H143" s="49"/>
      <c r="I143" s="49"/>
      <c r="J143" s="49"/>
      <c r="K143" s="49"/>
      <c r="L143" s="49"/>
      <c r="M143" s="49"/>
    </row>
    <row r="144" spans="1:13" ht="15.75" hidden="1" customHeight="1" x14ac:dyDescent="0.25">
      <c r="A144" s="49"/>
      <c r="B144" s="49"/>
      <c r="C144" s="49"/>
      <c r="D144" s="49"/>
      <c r="E144" s="49"/>
      <c r="F144" s="49"/>
      <c r="G144" s="49"/>
      <c r="H144" s="49"/>
      <c r="I144" s="49"/>
      <c r="J144" s="49"/>
      <c r="K144" s="49"/>
      <c r="L144" s="49"/>
      <c r="M144" s="49"/>
    </row>
    <row r="145" spans="1:13" ht="15" hidden="1" customHeight="1" x14ac:dyDescent="0.25">
      <c r="A145" s="49"/>
      <c r="B145" s="49"/>
      <c r="C145" s="49"/>
      <c r="D145" s="49"/>
      <c r="E145" s="49"/>
      <c r="F145" s="49"/>
      <c r="G145" s="49"/>
      <c r="H145" s="49"/>
      <c r="I145" s="49"/>
      <c r="J145" s="49"/>
      <c r="K145" s="49"/>
      <c r="L145" s="49"/>
      <c r="M145" s="49"/>
    </row>
    <row r="146" spans="1:13" ht="15" hidden="1" customHeight="1" x14ac:dyDescent="0.25">
      <c r="A146" s="49"/>
      <c r="B146" s="49"/>
      <c r="C146" s="49"/>
      <c r="D146" s="49"/>
      <c r="E146" s="49"/>
      <c r="F146" s="49"/>
      <c r="G146" s="49"/>
      <c r="H146" s="49"/>
      <c r="I146" s="49"/>
      <c r="J146" s="49"/>
      <c r="K146" s="49"/>
      <c r="L146" s="49"/>
      <c r="M146" s="49"/>
    </row>
    <row r="147" spans="1:13" ht="15" hidden="1" customHeight="1" x14ac:dyDescent="0.25"/>
    <row r="148" spans="1:13" ht="15" hidden="1" customHeight="1" x14ac:dyDescent="0.25"/>
    <row r="149" spans="1:13" ht="15" hidden="1" customHeight="1" x14ac:dyDescent="0.25"/>
    <row r="150" spans="1:13" ht="15" hidden="1" customHeight="1" x14ac:dyDescent="0.25"/>
    <row r="151" spans="1:13" ht="15" hidden="1" customHeight="1" x14ac:dyDescent="0.25"/>
    <row r="152" spans="1:13" ht="15" hidden="1" customHeight="1" x14ac:dyDescent="0.25"/>
    <row r="153" spans="1:13" ht="15" hidden="1" customHeight="1" x14ac:dyDescent="0.25"/>
    <row r="154" spans="1:13" ht="15" hidden="1" customHeight="1" x14ac:dyDescent="0.25"/>
    <row r="155" spans="1:13" ht="15" hidden="1" customHeight="1" x14ac:dyDescent="0.25"/>
    <row r="156" spans="1:13" ht="15" hidden="1" customHeight="1" x14ac:dyDescent="0.25"/>
    <row r="157" spans="1:13" ht="15" hidden="1" customHeight="1" x14ac:dyDescent="0.25"/>
    <row r="158" spans="1:13" ht="15" hidden="1" customHeight="1" x14ac:dyDescent="0.25"/>
    <row r="159" spans="1:13" ht="15" hidden="1" customHeight="1" x14ac:dyDescent="0.25"/>
    <row r="160" spans="1:13"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sheetData>
  <sheetProtection algorithmName="SHA-512" hashValue="Lla0nEwoCkwH0KAi42G6cniZWy1puXZXmkkUMySPWHiDZAkFJgkdAIf8VmnrgOjEHa0fyQrcUUyET/A+5EDgpQ==" saltValue="l40CKxXPpIl3c2sv0xx/HA==" spinCount="100000" sheet="1" objects="1" scenarios="1"/>
  <mergeCells count="71">
    <mergeCell ref="B123:C123"/>
    <mergeCell ref="B111:F111"/>
    <mergeCell ref="A17:M17"/>
    <mergeCell ref="B15:E15"/>
    <mergeCell ref="A19:C19"/>
    <mergeCell ref="B28:F28"/>
    <mergeCell ref="H18:M19"/>
    <mergeCell ref="B30:C30"/>
    <mergeCell ref="B31:C31"/>
    <mergeCell ref="B21:H21"/>
    <mergeCell ref="B23:H23"/>
    <mergeCell ref="B24:H24"/>
    <mergeCell ref="B70:F70"/>
    <mergeCell ref="B32:C32"/>
    <mergeCell ref="B33:C33"/>
    <mergeCell ref="B64:C64"/>
    <mergeCell ref="A5:M7"/>
    <mergeCell ref="B11:E11"/>
    <mergeCell ref="B12:E12"/>
    <mergeCell ref="B13:E13"/>
    <mergeCell ref="B14:E14"/>
    <mergeCell ref="A9:M9"/>
    <mergeCell ref="A131:C131"/>
    <mergeCell ref="A72:C72"/>
    <mergeCell ref="A66:C66"/>
    <mergeCell ref="A55:C55"/>
    <mergeCell ref="A38:C38"/>
    <mergeCell ref="A44:C44"/>
    <mergeCell ref="B129:F129"/>
    <mergeCell ref="A51:C51"/>
    <mergeCell ref="B57:F57"/>
    <mergeCell ref="B95:F95"/>
    <mergeCell ref="B42:F42"/>
    <mergeCell ref="C60:D60"/>
    <mergeCell ref="B128:F128"/>
    <mergeCell ref="A77:M77"/>
    <mergeCell ref="A125:C125"/>
    <mergeCell ref="B107:C107"/>
    <mergeCell ref="B34:C34"/>
    <mergeCell ref="B36:C36"/>
    <mergeCell ref="B41:F41"/>
    <mergeCell ref="C61:D61"/>
    <mergeCell ref="C62:D62"/>
    <mergeCell ref="B40:F40"/>
    <mergeCell ref="B68:F68"/>
    <mergeCell ref="A1:M1"/>
    <mergeCell ref="I2:K4"/>
    <mergeCell ref="H128:I128"/>
    <mergeCell ref="H129:I129"/>
    <mergeCell ref="H68:I68"/>
    <mergeCell ref="H69:I69"/>
    <mergeCell ref="H70:I70"/>
    <mergeCell ref="A49:M49"/>
    <mergeCell ref="A26:C26"/>
    <mergeCell ref="H40:I40"/>
    <mergeCell ref="H41:I41"/>
    <mergeCell ref="H42:I42"/>
    <mergeCell ref="A79:C79"/>
    <mergeCell ref="B127:F127"/>
    <mergeCell ref="H127:I127"/>
    <mergeCell ref="B69:F69"/>
    <mergeCell ref="B81:I81"/>
    <mergeCell ref="B82:I82"/>
    <mergeCell ref="B83:I83"/>
    <mergeCell ref="B84:I84"/>
    <mergeCell ref="B91:I91"/>
    <mergeCell ref="B85:I85"/>
    <mergeCell ref="B86:I86"/>
    <mergeCell ref="B87:I87"/>
    <mergeCell ref="B88:I88"/>
    <mergeCell ref="B90:I90"/>
  </mergeCells>
  <conditionalFormatting sqref="B12:B13 B15">
    <cfRule type="expression" dxfId="361" priority="20">
      <formula>#REF!="Performance Path"</formula>
    </cfRule>
  </conditionalFormatting>
  <conditionalFormatting sqref="F12:H15">
    <cfRule type="expression" dxfId="360" priority="298">
      <formula>OR(#REF!="No",#REF!="Không")</formula>
    </cfRule>
  </conditionalFormatting>
  <conditionalFormatting sqref="F12:H15">
    <cfRule type="expression" dxfId="359" priority="299">
      <formula>OR($D12="No",$D12="Không")</formula>
    </cfRule>
    <cfRule type="expression" dxfId="358" priority="300">
      <formula>OR(#REF!="No",#REF!="Không")</formula>
    </cfRule>
  </conditionalFormatting>
  <conditionalFormatting sqref="G12:H15">
    <cfRule type="expression" dxfId="357" priority="10">
      <formula>OR(#REF!="No",#REF!="Không")</formula>
    </cfRule>
  </conditionalFormatting>
  <conditionalFormatting sqref="G12:H12">
    <cfRule type="expression" dxfId="356" priority="8">
      <formula>OR($D12="No",$D12="Không")</formula>
    </cfRule>
    <cfRule type="expression" dxfId="355" priority="9">
      <formula>OR(#REF!="No",#REF!="Không")</formula>
    </cfRule>
  </conditionalFormatting>
  <conditionalFormatting sqref="G13:H13">
    <cfRule type="expression" dxfId="354" priority="5">
      <formula>OR($D13="No",$D13="Không")</formula>
    </cfRule>
    <cfRule type="expression" dxfId="353" priority="6">
      <formula>OR(#REF!="No",#REF!="Không")</formula>
    </cfRule>
  </conditionalFormatting>
  <conditionalFormatting sqref="G14:H15">
    <cfRule type="expression" dxfId="352" priority="2">
      <formula>OR($D14="No",$D14="Không")</formula>
    </cfRule>
    <cfRule type="expression" dxfId="351" priority="3">
      <formula>OR(#REF!="No",#REF!="Không")</formula>
    </cfRule>
  </conditionalFormatting>
  <conditionalFormatting sqref="B14">
    <cfRule type="expression" dxfId="350" priority="1">
      <formula>#REF!="Performance Path"</formula>
    </cfRule>
  </conditionalFormatting>
  <dataValidations count="4">
    <dataValidation allowBlank="1" showInputMessage="1" showErrorMessage="1" prompt="Example: _x000a_4 windows: 1 of 2 m2, 1 of 3m2 and 2 of 2.5 m2_x000a_Write information as follows:_x000a_&quot;1 W1 - 2 m2_x000a_1 W2 - 3 m2_x000a_2 W3 - 2.5 m2&quot;" sqref="C60:D62" xr:uid="{00000000-0002-0000-0C00-000000000000}"/>
    <dataValidation type="list" allowBlank="1" showInputMessage="1" showErrorMessage="1" sqref="G41:G42 G69:G70 G128:G129" xr:uid="{00000000-0002-0000-0C00-000001000000}">
      <formula1>"Select,Submitted,Not submitted"</formula1>
    </dataValidation>
    <dataValidation type="list" allowBlank="1" showInputMessage="1" showErrorMessage="1" sqref="D98:D105" xr:uid="{00000000-0002-0000-0C00-000002000000}">
      <formula1>"Select,A coefficient &gt; 1.3,Full-height louvered screen,Vegetation,None"</formula1>
    </dataValidation>
    <dataValidation type="list" allowBlank="1" showInputMessage="1" showErrorMessage="1" sqref="D114:D121" xr:uid="{00000000-0002-0000-0C00-000003000000}">
      <formula1>"Select,Full-height louvered screen,Vegetation,None"</formula1>
    </dataValidation>
  </dataValidations>
  <hyperlinks>
    <hyperlink ref="M2" location="'E-5 Energy Efficient Appliances'!B3" tooltip="E-5" display="E-5" xr:uid="{00000000-0004-0000-0C00-000000000000}"/>
    <hyperlink ref="M4" location="'Energy BPC'!B3" tooltip="BPC" display="BPC" xr:uid="{00000000-0004-0000-0C00-000001000000}"/>
    <hyperlink ref="L4" location="'E-4 Artificial Lighting'!D3" tooltip="E-4" display="E-4" xr:uid="{00000000-0004-0000-0C00-000002000000}"/>
    <hyperlink ref="L3" location="'E-3 Building Cooling'!B3" tooltip="E-3" display="E-3" xr:uid="{00000000-0004-0000-0C00-000003000000}"/>
    <hyperlink ref="L2" location="'E-2 Building Envelope'!B3" tooltip="E-2" display="E-2" xr:uid="{00000000-0004-0000-0C00-000004000000}"/>
    <hyperlink ref="M3" location="'E-6 Energy Monitor'!B3" tooltip="E-6" display="E-6" xr:uid="{00000000-0004-0000-0C00-000005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58B527"/>
  </sheetPr>
  <dimension ref="A1:AE338"/>
  <sheetViews>
    <sheetView showRowColHeaders="0" workbookViewId="0">
      <pane ySplit="8" topLeftCell="A126" activePane="bottomLeft" state="frozen"/>
      <selection activeCell="E9" sqref="E9:F9"/>
      <selection pane="bottomLeft" activeCell="B135" sqref="B135:G135"/>
    </sheetView>
  </sheetViews>
  <sheetFormatPr defaultColWidth="0" defaultRowHeight="15" zeroHeight="1" x14ac:dyDescent="0.25"/>
  <cols>
    <col min="1" max="1" width="3.28515625" customWidth="1"/>
    <col min="2" max="8" width="19.7109375" customWidth="1"/>
    <col min="9" max="9" width="19.42578125" customWidth="1"/>
    <col min="10" max="10" width="9.7109375" customWidth="1"/>
    <col min="11" max="13" width="8.7109375" customWidth="1"/>
    <col min="14" max="14" width="9.140625" hidden="1" customWidth="1"/>
    <col min="15" max="21" width="10" hidden="1" customWidth="1"/>
    <col min="22" max="16384" width="9.140625" hidden="1"/>
  </cols>
  <sheetData>
    <row r="1" spans="1:15" ht="27" customHeight="1" x14ac:dyDescent="0.25">
      <c r="A1" s="1584" t="s">
        <v>18</v>
      </c>
      <c r="B1" s="1584"/>
      <c r="C1" s="1584"/>
      <c r="D1" s="1584"/>
      <c r="E1" s="1584"/>
      <c r="F1" s="1584"/>
      <c r="G1" s="1584"/>
      <c r="H1" s="1584"/>
      <c r="I1" s="1584"/>
      <c r="J1" s="1584"/>
      <c r="K1" s="1584"/>
      <c r="L1" s="1584"/>
      <c r="M1" s="1584"/>
      <c r="N1" s="251"/>
    </row>
    <row r="2" spans="1:15" s="38" customFormat="1" ht="15" customHeight="1" x14ac:dyDescent="0.25">
      <c r="A2" s="49"/>
      <c r="B2" s="50"/>
      <c r="C2" s="50"/>
      <c r="D2" s="50"/>
      <c r="E2" s="50"/>
      <c r="F2" s="49"/>
      <c r="G2" s="49"/>
      <c r="H2" s="1585" t="s">
        <v>512</v>
      </c>
      <c r="I2" s="1585"/>
      <c r="J2" s="1585"/>
      <c r="K2" s="1585"/>
      <c r="L2" s="212" t="s">
        <v>59</v>
      </c>
      <c r="M2" s="212" t="s">
        <v>74</v>
      </c>
      <c r="N2" s="49"/>
    </row>
    <row r="3" spans="1:15" s="38" customFormat="1" ht="15" customHeight="1" x14ac:dyDescent="0.25">
      <c r="A3" s="49"/>
      <c r="B3" s="50"/>
      <c r="C3" s="50"/>
      <c r="D3" s="50"/>
      <c r="E3" s="50"/>
      <c r="F3" s="49"/>
      <c r="G3" s="49"/>
      <c r="H3" s="1585"/>
      <c r="I3" s="1585"/>
      <c r="J3" s="1585"/>
      <c r="K3" s="1585"/>
      <c r="L3" s="212" t="s">
        <v>67</v>
      </c>
      <c r="M3" s="212" t="s">
        <v>78</v>
      </c>
      <c r="N3" s="49"/>
    </row>
    <row r="4" spans="1:15" s="38" customFormat="1" ht="15" customHeight="1" x14ac:dyDescent="0.25">
      <c r="A4" s="49"/>
      <c r="B4" s="50"/>
      <c r="C4" s="50"/>
      <c r="D4" s="50"/>
      <c r="E4" s="50"/>
      <c r="F4" s="49"/>
      <c r="G4" s="49"/>
      <c r="H4" s="1586"/>
      <c r="I4" s="1586"/>
      <c r="J4" s="1586"/>
      <c r="K4" s="1586"/>
      <c r="L4" s="212" t="s">
        <v>70</v>
      </c>
      <c r="M4" s="212" t="s">
        <v>76</v>
      </c>
      <c r="N4" s="49"/>
    </row>
    <row r="5" spans="1:15" s="38" customFormat="1" ht="21" customHeight="1" x14ac:dyDescent="0.25">
      <c r="A5" s="1600" t="s">
        <v>2572</v>
      </c>
      <c r="B5" s="1601"/>
      <c r="C5" s="1601"/>
      <c r="D5" s="1601"/>
      <c r="E5" s="1601"/>
      <c r="F5" s="1601"/>
      <c r="G5" s="1601"/>
      <c r="H5" s="1601"/>
      <c r="I5" s="1601"/>
      <c r="J5" s="1601"/>
      <c r="K5" s="1601"/>
      <c r="L5" s="1601"/>
      <c r="M5" s="1602"/>
      <c r="N5" s="49"/>
    </row>
    <row r="6" spans="1:15" s="38" customFormat="1" ht="21" customHeight="1" x14ac:dyDescent="0.25">
      <c r="A6" s="1603"/>
      <c r="B6" s="1604"/>
      <c r="C6" s="1604"/>
      <c r="D6" s="1604"/>
      <c r="E6" s="1604"/>
      <c r="F6" s="1604"/>
      <c r="G6" s="1604"/>
      <c r="H6" s="1604"/>
      <c r="I6" s="1604"/>
      <c r="J6" s="1604"/>
      <c r="K6" s="1604"/>
      <c r="L6" s="1604"/>
      <c r="M6" s="1605"/>
      <c r="N6" s="49"/>
    </row>
    <row r="7" spans="1:15" s="38" customFormat="1" ht="21" customHeight="1" x14ac:dyDescent="0.25">
      <c r="A7" s="1606"/>
      <c r="B7" s="1607"/>
      <c r="C7" s="1607"/>
      <c r="D7" s="1607"/>
      <c r="E7" s="1607"/>
      <c r="F7" s="1607"/>
      <c r="G7" s="1607"/>
      <c r="H7" s="1607"/>
      <c r="I7" s="1607"/>
      <c r="J7" s="1607"/>
      <c r="K7" s="1607"/>
      <c r="L7" s="1607"/>
      <c r="M7" s="1608"/>
      <c r="N7" s="49"/>
    </row>
    <row r="8" spans="1:15" s="38" customFormat="1" ht="12" customHeight="1" x14ac:dyDescent="0.25">
      <c r="A8" s="49"/>
      <c r="B8" s="50"/>
      <c r="C8" s="50"/>
      <c r="D8" s="50"/>
      <c r="E8" s="50"/>
      <c r="F8" s="49"/>
      <c r="G8" s="49"/>
      <c r="H8" s="49"/>
      <c r="I8" s="49"/>
      <c r="J8" s="49"/>
      <c r="K8" s="49"/>
      <c r="L8" s="49"/>
      <c r="M8" s="49"/>
      <c r="N8" s="49"/>
    </row>
    <row r="9" spans="1:15" s="38" customFormat="1" ht="18" customHeight="1" x14ac:dyDescent="0.25">
      <c r="A9" s="1591" t="s">
        <v>177</v>
      </c>
      <c r="B9" s="1591"/>
      <c r="C9" s="1591"/>
      <c r="D9" s="1591"/>
      <c r="E9" s="1591"/>
      <c r="F9" s="1591"/>
      <c r="G9" s="1591"/>
      <c r="H9" s="1591"/>
      <c r="I9" s="1591"/>
      <c r="J9" s="1591"/>
      <c r="K9" s="1591"/>
      <c r="L9" s="1591"/>
      <c r="M9" s="1591"/>
      <c r="N9" s="89"/>
    </row>
    <row r="10" spans="1:15" s="38" customFormat="1" ht="13.5" customHeight="1" x14ac:dyDescent="0.25">
      <c r="A10" s="49"/>
      <c r="B10" s="50"/>
      <c r="C10" s="50"/>
      <c r="D10" s="50"/>
      <c r="E10" s="50"/>
      <c r="F10" s="49"/>
      <c r="G10" s="49"/>
      <c r="H10" s="49"/>
      <c r="I10" s="49"/>
      <c r="J10" s="49"/>
      <c r="K10" s="49"/>
      <c r="L10" s="49"/>
      <c r="M10" s="49"/>
      <c r="N10" s="49"/>
    </row>
    <row r="11" spans="1:15" s="38" customFormat="1" ht="16.5" customHeight="1" x14ac:dyDescent="0.25">
      <c r="A11" s="49"/>
      <c r="B11" s="1679" t="s">
        <v>232</v>
      </c>
      <c r="C11" s="1680"/>
      <c r="D11" s="242" t="s">
        <v>124</v>
      </c>
      <c r="E11" s="50"/>
      <c r="F11" s="49"/>
      <c r="G11" s="49"/>
      <c r="H11" s="49"/>
      <c r="I11" s="49"/>
      <c r="J11" s="49"/>
      <c r="K11" s="49"/>
      <c r="L11" s="49"/>
      <c r="M11" s="49"/>
      <c r="N11" s="49"/>
    </row>
    <row r="12" spans="1:15" s="38" customFormat="1" ht="13.5" customHeight="1" x14ac:dyDescent="0.25">
      <c r="A12" s="49"/>
      <c r="B12" s="50"/>
      <c r="C12" s="50"/>
      <c r="D12" s="50"/>
      <c r="E12" s="50"/>
      <c r="F12" s="49"/>
      <c r="G12" s="49"/>
      <c r="H12" s="49"/>
      <c r="I12" s="49"/>
      <c r="J12" s="49"/>
      <c r="K12" s="49"/>
      <c r="L12" s="49"/>
      <c r="M12" s="49"/>
      <c r="N12" s="49"/>
    </row>
    <row r="13" spans="1:15" s="38" customFormat="1" ht="19.5" customHeight="1" x14ac:dyDescent="0.25">
      <c r="A13" s="49"/>
      <c r="B13" s="1609" t="s">
        <v>193</v>
      </c>
      <c r="C13" s="1610"/>
      <c r="D13" s="1610"/>
      <c r="E13" s="1610"/>
      <c r="F13" s="442" t="s">
        <v>152</v>
      </c>
      <c r="G13" s="442" t="s">
        <v>53</v>
      </c>
      <c r="H13" s="90" t="s">
        <v>492</v>
      </c>
      <c r="I13" s="49"/>
      <c r="J13" s="49"/>
      <c r="K13" s="49"/>
      <c r="L13" s="49"/>
      <c r="M13" s="49"/>
      <c r="N13" s="49"/>
    </row>
    <row r="14" spans="1:15" s="38" customFormat="1" ht="51" customHeight="1" x14ac:dyDescent="0.25">
      <c r="A14" s="49"/>
      <c r="B14" s="1676" t="s">
        <v>876</v>
      </c>
      <c r="C14" s="1677" t="s">
        <v>231</v>
      </c>
      <c r="D14" s="1677" t="s">
        <v>231</v>
      </c>
      <c r="E14" s="1678" t="s">
        <v>231</v>
      </c>
      <c r="F14" s="55">
        <v>1</v>
      </c>
      <c r="G14" s="239" t="str">
        <f>C59</f>
        <v>/</v>
      </c>
      <c r="H14" s="55" t="str">
        <f>C60</f>
        <v>/</v>
      </c>
      <c r="I14" s="49"/>
      <c r="J14" s="49"/>
      <c r="K14" s="49"/>
      <c r="L14" s="49"/>
      <c r="M14" s="49"/>
      <c r="N14" s="49"/>
      <c r="O14" s="38" t="str">
        <f>IF(G14="","No",IF(G14&lt;&gt;0,IF(H14="No","No","Yes"),"Yes"))</f>
        <v>Yes</v>
      </c>
    </row>
    <row r="15" spans="1:15" s="38" customFormat="1" ht="51" customHeight="1" x14ac:dyDescent="0.25">
      <c r="A15" s="49"/>
      <c r="B15" s="1667" t="s">
        <v>877</v>
      </c>
      <c r="C15" s="1668" t="s">
        <v>230</v>
      </c>
      <c r="D15" s="1668" t="s">
        <v>230</v>
      </c>
      <c r="E15" s="1669" t="s">
        <v>230</v>
      </c>
      <c r="F15" s="55">
        <v>1</v>
      </c>
      <c r="G15" s="239" t="str">
        <f>C93</f>
        <v>/</v>
      </c>
      <c r="H15" s="55" t="str">
        <f>C94</f>
        <v>/</v>
      </c>
      <c r="I15" s="49"/>
      <c r="J15" s="49"/>
      <c r="K15" s="49"/>
      <c r="L15" s="49"/>
      <c r="M15" s="49"/>
      <c r="N15" s="49"/>
      <c r="O15" s="38" t="str">
        <f t="shared" ref="O15:O17" si="0">IF(G15="","No",IF(G15&lt;&gt;0,IF(H15="No","No","Yes"),"Yes"))</f>
        <v>Yes</v>
      </c>
    </row>
    <row r="16" spans="1:15" s="38" customFormat="1" ht="39" customHeight="1" x14ac:dyDescent="0.25">
      <c r="A16" s="49"/>
      <c r="B16" s="1667" t="s">
        <v>1590</v>
      </c>
      <c r="C16" s="1668" t="s">
        <v>228</v>
      </c>
      <c r="D16" s="1668" t="s">
        <v>228</v>
      </c>
      <c r="E16" s="1669" t="s">
        <v>228</v>
      </c>
      <c r="F16" s="55">
        <v>1</v>
      </c>
      <c r="G16" s="239" t="str">
        <f>C126</f>
        <v>/</v>
      </c>
      <c r="H16" s="55" t="str">
        <f>C127</f>
        <v>/</v>
      </c>
      <c r="I16" s="49"/>
      <c r="J16" s="49"/>
      <c r="K16" s="49"/>
      <c r="L16" s="49"/>
      <c r="M16" s="49"/>
      <c r="N16" s="49"/>
      <c r="O16" s="38" t="str">
        <f t="shared" si="0"/>
        <v>Yes</v>
      </c>
    </row>
    <row r="17" spans="1:15" s="38" customFormat="1" ht="27.75" customHeight="1" x14ac:dyDescent="0.25">
      <c r="A17" s="49"/>
      <c r="B17" s="1667" t="s">
        <v>878</v>
      </c>
      <c r="C17" s="1668" t="s">
        <v>229</v>
      </c>
      <c r="D17" s="1668" t="s">
        <v>229</v>
      </c>
      <c r="E17" s="1669" t="s">
        <v>229</v>
      </c>
      <c r="F17" s="55">
        <v>1</v>
      </c>
      <c r="G17" s="239" t="str">
        <f>C167</f>
        <v>/</v>
      </c>
      <c r="H17" s="55" t="str">
        <f>C168</f>
        <v>/</v>
      </c>
      <c r="I17" s="49"/>
      <c r="J17" s="49"/>
      <c r="K17" s="49"/>
      <c r="L17" s="49"/>
      <c r="M17" s="49"/>
      <c r="N17" s="49"/>
      <c r="O17" s="38" t="str">
        <f t="shared" si="0"/>
        <v>Yes</v>
      </c>
    </row>
    <row r="18" spans="1:15" s="38" customFormat="1" ht="19.5" customHeight="1" x14ac:dyDescent="0.25">
      <c r="A18" s="49"/>
      <c r="B18" s="1613" t="s">
        <v>79</v>
      </c>
      <c r="C18" s="1614" t="s">
        <v>229</v>
      </c>
      <c r="D18" s="1614" t="s">
        <v>229</v>
      </c>
      <c r="E18" s="1615" t="s">
        <v>229</v>
      </c>
      <c r="F18" s="631">
        <v>4</v>
      </c>
      <c r="G18" s="631">
        <f>MIN(4,SUM(G14:G17))</f>
        <v>0</v>
      </c>
      <c r="H18" s="631" t="str">
        <f>IF(COUNTIF(H14:H17,"No")+COUNTIF(H14:H17,"/")=4,"No",IF(COUNTIF(O14:O17,"Yes")=4,"Yes","No"))</f>
        <v>No</v>
      </c>
      <c r="I18" s="49"/>
      <c r="J18" s="49"/>
      <c r="K18" s="49"/>
      <c r="L18" s="49"/>
      <c r="M18" s="49"/>
      <c r="N18" s="49"/>
    </row>
    <row r="19" spans="1:15" s="38" customFormat="1" ht="18" customHeight="1" x14ac:dyDescent="0.25">
      <c r="A19" s="49"/>
      <c r="B19" s="50"/>
      <c r="C19" s="50"/>
      <c r="D19" s="50"/>
      <c r="E19" s="50"/>
      <c r="F19" s="49"/>
      <c r="G19" s="49"/>
      <c r="H19" s="49" t="s">
        <v>715</v>
      </c>
      <c r="I19" s="49"/>
      <c r="J19" s="49"/>
      <c r="K19" s="49"/>
      <c r="L19" s="49"/>
      <c r="M19" s="49"/>
      <c r="N19" s="49"/>
    </row>
    <row r="20" spans="1:15" s="38" customFormat="1" ht="19.5" customHeight="1" x14ac:dyDescent="0.25">
      <c r="A20" s="49"/>
      <c r="B20" s="1609" t="s">
        <v>192</v>
      </c>
      <c r="C20" s="1610"/>
      <c r="D20" s="1610"/>
      <c r="E20" s="1610"/>
      <c r="F20" s="442" t="s">
        <v>152</v>
      </c>
      <c r="G20" s="442" t="s">
        <v>53</v>
      </c>
      <c r="H20" s="90" t="s">
        <v>492</v>
      </c>
      <c r="I20" s="49"/>
      <c r="J20" s="49"/>
      <c r="K20" s="49"/>
      <c r="L20" s="49"/>
      <c r="M20" s="49"/>
      <c r="N20" s="49"/>
    </row>
    <row r="21" spans="1:15" s="38" customFormat="1" ht="42" customHeight="1" x14ac:dyDescent="0.25">
      <c r="A21" s="49"/>
      <c r="B21" s="1667" t="s">
        <v>239</v>
      </c>
      <c r="C21" s="1668"/>
      <c r="D21" s="1668"/>
      <c r="E21" s="1669"/>
      <c r="F21" s="55">
        <v>2</v>
      </c>
      <c r="G21" s="239" t="str">
        <f>C206</f>
        <v>/</v>
      </c>
      <c r="H21" s="55" t="str">
        <f>C207</f>
        <v>/</v>
      </c>
      <c r="I21" s="49"/>
      <c r="J21" s="49"/>
      <c r="K21" s="49"/>
      <c r="L21" s="49"/>
      <c r="M21" s="49"/>
      <c r="N21" s="49"/>
      <c r="O21" s="38" t="str">
        <f>IF(G21="","No",IF(G21&lt;&gt;0,IF(H21="No","No","Yes"),"Yes"))</f>
        <v>Yes</v>
      </c>
    </row>
    <row r="22" spans="1:15" s="38" customFormat="1" ht="42" customHeight="1" x14ac:dyDescent="0.25">
      <c r="A22" s="49"/>
      <c r="B22" s="1667" t="s">
        <v>240</v>
      </c>
      <c r="C22" s="1668" t="s">
        <v>106</v>
      </c>
      <c r="D22" s="1668" t="s">
        <v>106</v>
      </c>
      <c r="E22" s="1669" t="s">
        <v>106</v>
      </c>
      <c r="F22" s="55">
        <v>2</v>
      </c>
      <c r="G22" s="239" t="str">
        <f>C258</f>
        <v>/</v>
      </c>
      <c r="H22" s="55" t="str">
        <f>C259</f>
        <v>/</v>
      </c>
      <c r="I22" s="49"/>
      <c r="J22" s="49"/>
      <c r="K22" s="49"/>
      <c r="L22" s="49"/>
      <c r="M22" s="49"/>
      <c r="N22" s="49"/>
      <c r="O22" s="38" t="str">
        <f t="shared" ref="O22:O23" si="1">IF(G22="","No",IF(G22&lt;&gt;0,IF(H22="No","No","Yes"),"Yes"))</f>
        <v>Yes</v>
      </c>
    </row>
    <row r="23" spans="1:15" s="38" customFormat="1" ht="32.25" customHeight="1" x14ac:dyDescent="0.25">
      <c r="A23" s="49"/>
      <c r="B23" s="1667" t="s">
        <v>854</v>
      </c>
      <c r="C23" s="1668" t="s">
        <v>113</v>
      </c>
      <c r="D23" s="1668" t="s">
        <v>113</v>
      </c>
      <c r="E23" s="1669" t="s">
        <v>113</v>
      </c>
      <c r="F23" s="55">
        <v>1</v>
      </c>
      <c r="G23" s="239" t="str">
        <f>C299</f>
        <v>/</v>
      </c>
      <c r="H23" s="55" t="str">
        <f>C300</f>
        <v>/</v>
      </c>
      <c r="I23" s="49"/>
      <c r="J23" s="49"/>
      <c r="K23" s="49"/>
      <c r="L23" s="49"/>
      <c r="M23" s="49"/>
      <c r="N23" s="49"/>
      <c r="O23" s="38" t="str">
        <f t="shared" si="1"/>
        <v>Yes</v>
      </c>
    </row>
    <row r="24" spans="1:15" s="38" customFormat="1" ht="19.5" customHeight="1" x14ac:dyDescent="0.25">
      <c r="A24" s="49"/>
      <c r="B24" s="1613" t="s">
        <v>79</v>
      </c>
      <c r="C24" s="1614" t="s">
        <v>229</v>
      </c>
      <c r="D24" s="1614" t="s">
        <v>229</v>
      </c>
      <c r="E24" s="1615" t="s">
        <v>229</v>
      </c>
      <c r="F24" s="631">
        <v>4</v>
      </c>
      <c r="G24" s="631">
        <f>MIN(4,SUM(G21:G23))</f>
        <v>0</v>
      </c>
      <c r="H24" s="631" t="str">
        <f>IF(COUNTIF(H21:H23,"No")+COUNTIF(H21:H23,"/")=3,"No",IF(COUNTIF(O21:O23,"Yes")=3,"Yes","No"))</f>
        <v>No</v>
      </c>
      <c r="I24" s="49"/>
      <c r="J24" s="49"/>
      <c r="K24" s="49"/>
      <c r="L24" s="49"/>
      <c r="M24" s="49"/>
      <c r="N24" s="49"/>
    </row>
    <row r="25" spans="1:15" s="38" customFormat="1" ht="16.5" customHeight="1" x14ac:dyDescent="0.25">
      <c r="A25" s="49"/>
      <c r="B25" s="49"/>
      <c r="C25" s="49"/>
      <c r="D25" s="49"/>
      <c r="E25" s="49"/>
      <c r="F25" s="49"/>
      <c r="G25" s="49"/>
      <c r="H25" s="49"/>
      <c r="I25" s="49"/>
      <c r="J25" s="49"/>
      <c r="K25" s="49"/>
      <c r="L25" s="49"/>
      <c r="M25" s="49"/>
      <c r="N25" s="49"/>
    </row>
    <row r="26" spans="1:15" ht="18" customHeight="1" x14ac:dyDescent="0.25">
      <c r="A26" s="1591" t="s">
        <v>16</v>
      </c>
      <c r="B26" s="1591"/>
      <c r="C26" s="1591"/>
      <c r="D26" s="1591"/>
      <c r="E26" s="1591"/>
      <c r="F26" s="1591"/>
      <c r="G26" s="1591"/>
      <c r="H26" s="1591"/>
      <c r="I26" s="1591"/>
      <c r="J26" s="1591"/>
      <c r="K26" s="1591"/>
      <c r="L26" s="1591"/>
      <c r="M26" s="1591"/>
      <c r="N26" s="89"/>
    </row>
    <row r="27" spans="1:15" ht="18" customHeight="1" x14ac:dyDescent="0.25">
      <c r="A27" s="226"/>
      <c r="B27" s="226"/>
      <c r="C27" s="226"/>
      <c r="D27" s="226"/>
      <c r="E27" s="226"/>
      <c r="F27" s="226"/>
      <c r="G27" s="226"/>
      <c r="H27" s="226"/>
      <c r="I27" s="226"/>
      <c r="J27" s="226"/>
      <c r="K27" s="226"/>
      <c r="L27" s="226"/>
      <c r="M27" s="226"/>
      <c r="N27" s="4"/>
    </row>
    <row r="28" spans="1:15" ht="18" customHeight="1" x14ac:dyDescent="0.25">
      <c r="A28" s="226"/>
      <c r="B28" s="226"/>
      <c r="C28" s="226"/>
      <c r="D28" s="226"/>
      <c r="E28" s="226"/>
      <c r="F28" s="226"/>
      <c r="G28" s="226"/>
      <c r="H28" s="226"/>
      <c r="I28" s="226"/>
      <c r="J28" s="226"/>
      <c r="K28" s="226"/>
      <c r="L28" s="226"/>
      <c r="M28" s="226"/>
      <c r="N28" s="4"/>
    </row>
    <row r="29" spans="1:15" ht="18" customHeight="1" x14ac:dyDescent="0.25">
      <c r="A29" s="226"/>
      <c r="B29" s="226"/>
      <c r="C29" s="226"/>
      <c r="D29" s="226"/>
      <c r="E29" s="226"/>
      <c r="F29" s="226"/>
      <c r="G29" s="226"/>
      <c r="H29" s="226"/>
      <c r="I29" s="226"/>
      <c r="J29" s="226"/>
      <c r="K29" s="226"/>
      <c r="L29" s="226"/>
      <c r="M29" s="226"/>
      <c r="N29" s="4"/>
    </row>
    <row r="30" spans="1:15" s="38" customFormat="1" ht="18" customHeight="1" x14ac:dyDescent="0.25">
      <c r="A30" s="1592" t="s">
        <v>705</v>
      </c>
      <c r="B30" s="1592"/>
      <c r="C30" s="1592"/>
      <c r="D30" s="1592"/>
      <c r="E30" s="1592"/>
      <c r="F30" s="1592"/>
      <c r="G30" s="1592"/>
      <c r="H30" s="1592"/>
      <c r="I30" s="1592"/>
      <c r="J30" s="1592"/>
      <c r="K30" s="1592"/>
      <c r="L30" s="1592"/>
      <c r="M30" s="1592"/>
      <c r="N30" s="92"/>
    </row>
    <row r="31" spans="1:15" s="38" customFormat="1" x14ac:dyDescent="0.25">
      <c r="A31" s="226"/>
      <c r="B31" s="226"/>
      <c r="C31" s="226"/>
      <c r="D31" s="226"/>
      <c r="E31" s="226"/>
      <c r="F31" s="226"/>
      <c r="G31" s="226"/>
      <c r="H31" s="226"/>
      <c r="I31" s="226"/>
      <c r="J31" s="226"/>
      <c r="K31" s="226"/>
      <c r="L31" s="226"/>
      <c r="M31" s="226"/>
      <c r="N31" s="49"/>
    </row>
    <row r="32" spans="1:15" s="38" customFormat="1" x14ac:dyDescent="0.25">
      <c r="A32" s="1592" t="s">
        <v>245</v>
      </c>
      <c r="B32" s="1592"/>
      <c r="C32" s="1592"/>
      <c r="D32" s="226"/>
      <c r="E32" s="226"/>
      <c r="F32" s="226"/>
      <c r="G32" s="226"/>
      <c r="H32" s="226"/>
      <c r="I32" s="226"/>
      <c r="J32" s="226"/>
      <c r="K32" s="226"/>
      <c r="L32" s="226"/>
      <c r="M32" s="226"/>
      <c r="N32" s="49"/>
    </row>
    <row r="33" spans="1:18" s="38" customFormat="1" x14ac:dyDescent="0.25">
      <c r="A33" s="226"/>
      <c r="B33" s="226"/>
      <c r="C33" s="226"/>
      <c r="D33" s="226"/>
      <c r="E33" s="226"/>
      <c r="F33" s="226"/>
      <c r="G33" s="226"/>
      <c r="H33" s="226"/>
      <c r="I33" s="226"/>
      <c r="J33" s="226"/>
      <c r="K33" s="226"/>
      <c r="L33" s="226"/>
      <c r="M33" s="226"/>
      <c r="N33" s="49"/>
    </row>
    <row r="34" spans="1:18" s="38" customFormat="1" x14ac:dyDescent="0.25">
      <c r="A34" s="226"/>
      <c r="B34" s="1670" t="s">
        <v>1278</v>
      </c>
      <c r="C34" s="1671"/>
      <c r="D34" s="1671"/>
      <c r="E34" s="1671"/>
      <c r="F34" s="1672"/>
      <c r="G34" s="226"/>
      <c r="H34" s="226"/>
      <c r="I34" s="226"/>
      <c r="J34" s="226"/>
      <c r="K34" s="226"/>
      <c r="L34" s="226"/>
      <c r="M34" s="226"/>
      <c r="N34" s="49"/>
    </row>
    <row r="35" spans="1:18" s="38" customFormat="1" x14ac:dyDescent="0.25">
      <c r="A35" s="226"/>
      <c r="B35" s="1673" t="s">
        <v>1129</v>
      </c>
      <c r="C35" s="1674"/>
      <c r="D35" s="1674"/>
      <c r="E35" s="1674"/>
      <c r="F35" s="1675"/>
      <c r="G35" s="226"/>
      <c r="H35" s="226"/>
      <c r="I35" s="226"/>
      <c r="J35" s="226"/>
      <c r="K35" s="226"/>
      <c r="L35" s="226"/>
      <c r="M35" s="226"/>
      <c r="N35" s="49"/>
    </row>
    <row r="36" spans="1:18" s="38" customFormat="1" x14ac:dyDescent="0.25">
      <c r="A36" s="226"/>
      <c r="B36" s="1673" t="s">
        <v>1285</v>
      </c>
      <c r="C36" s="1674"/>
      <c r="D36" s="1674"/>
      <c r="E36" s="1674"/>
      <c r="F36" s="1675"/>
      <c r="G36" s="226"/>
      <c r="H36" s="226"/>
      <c r="I36" s="226"/>
      <c r="J36" s="226"/>
      <c r="K36" s="226"/>
      <c r="L36" s="226"/>
      <c r="M36" s="226"/>
      <c r="N36" s="49"/>
    </row>
    <row r="37" spans="1:18" s="38" customFormat="1" x14ac:dyDescent="0.25">
      <c r="A37" s="226"/>
      <c r="B37" s="1673" t="s">
        <v>1130</v>
      </c>
      <c r="C37" s="1674"/>
      <c r="D37" s="1674"/>
      <c r="E37" s="1674"/>
      <c r="F37" s="1675"/>
      <c r="G37" s="226"/>
      <c r="H37" s="226"/>
      <c r="I37" s="226"/>
      <c r="J37" s="226"/>
      <c r="K37" s="226"/>
      <c r="L37" s="226"/>
      <c r="M37" s="226"/>
      <c r="N37" s="49"/>
    </row>
    <row r="38" spans="1:18" s="38" customFormat="1" x14ac:dyDescent="0.25">
      <c r="A38" s="226"/>
      <c r="B38" s="1681" t="s">
        <v>1131</v>
      </c>
      <c r="C38" s="1682"/>
      <c r="D38" s="1682"/>
      <c r="E38" s="1682"/>
      <c r="F38" s="1683"/>
      <c r="G38" s="226"/>
      <c r="H38" s="226"/>
      <c r="I38" s="226"/>
      <c r="J38" s="226"/>
      <c r="K38" s="226"/>
      <c r="L38" s="226"/>
      <c r="M38" s="226"/>
      <c r="N38" s="49"/>
    </row>
    <row r="39" spans="1:18" s="38" customFormat="1" x14ac:dyDescent="0.25">
      <c r="A39" s="226"/>
      <c r="B39" s="226"/>
      <c r="C39" s="226"/>
      <c r="D39" s="226"/>
      <c r="E39" s="226"/>
      <c r="F39" s="226"/>
      <c r="G39" s="226"/>
      <c r="H39" s="226"/>
      <c r="I39" s="226"/>
      <c r="J39" s="226"/>
      <c r="K39" s="226"/>
      <c r="L39" s="226"/>
      <c r="M39" s="226"/>
      <c r="N39" s="49"/>
    </row>
    <row r="40" spans="1:18" s="38" customFormat="1" ht="16.5" customHeight="1" x14ac:dyDescent="0.25">
      <c r="A40" s="226"/>
      <c r="B40" s="621" t="s">
        <v>935</v>
      </c>
      <c r="C40" s="226"/>
      <c r="D40" s="226"/>
      <c r="E40" s="226"/>
      <c r="F40" s="226"/>
      <c r="G40" s="226"/>
      <c r="H40" s="226"/>
      <c r="I40" s="226"/>
      <c r="J40" s="226"/>
      <c r="K40" s="226"/>
      <c r="L40" s="226"/>
      <c r="M40" s="226"/>
      <c r="N40" s="49"/>
    </row>
    <row r="41" spans="1:18" s="38" customFormat="1" ht="9" customHeight="1" x14ac:dyDescent="0.25">
      <c r="A41" s="226"/>
      <c r="B41" s="228"/>
      <c r="C41" s="226"/>
      <c r="D41" s="226"/>
      <c r="E41" s="226"/>
      <c r="F41" s="226"/>
      <c r="G41" s="226"/>
      <c r="H41" s="226"/>
      <c r="I41" s="226"/>
      <c r="J41" s="226"/>
      <c r="K41" s="226"/>
      <c r="L41" s="226"/>
      <c r="M41" s="226"/>
      <c r="N41" s="49"/>
    </row>
    <row r="42" spans="1:18" s="38" customFormat="1" ht="27" customHeight="1" x14ac:dyDescent="0.25">
      <c r="A42" s="226"/>
      <c r="B42" s="511" t="s">
        <v>927</v>
      </c>
      <c r="C42" s="1599" t="s">
        <v>930</v>
      </c>
      <c r="D42" s="1599"/>
      <c r="E42" s="1599" t="s">
        <v>30</v>
      </c>
      <c r="F42" s="1666"/>
      <c r="G42" s="226"/>
      <c r="H42" s="226"/>
      <c r="I42" s="226"/>
      <c r="J42" s="226"/>
      <c r="K42" s="226"/>
      <c r="L42" s="226"/>
      <c r="M42" s="226"/>
      <c r="N42" s="49"/>
      <c r="O42" s="38" t="s">
        <v>124</v>
      </c>
    </row>
    <row r="43" spans="1:18" s="38" customFormat="1" ht="16.5" customHeight="1" x14ac:dyDescent="0.25">
      <c r="A43" s="226"/>
      <c r="B43" s="515"/>
      <c r="C43" s="1637" t="s">
        <v>124</v>
      </c>
      <c r="D43" s="1637"/>
      <c r="E43" s="1637"/>
      <c r="F43" s="1637"/>
      <c r="G43" s="226"/>
      <c r="H43" s="226"/>
      <c r="I43" s="226"/>
      <c r="J43" s="226"/>
      <c r="K43" s="226"/>
      <c r="L43" s="226"/>
      <c r="M43" s="226"/>
      <c r="N43" s="49" t="str">
        <f>IF(AND(C43&lt;&gt;"Select",C43&lt;&gt;"",C43&lt;&gt;"other materials"),"Yes","No")</f>
        <v>No</v>
      </c>
      <c r="O43" s="526" t="s">
        <v>519</v>
      </c>
    </row>
    <row r="44" spans="1:18" s="38" customFormat="1" ht="16.5" customHeight="1" x14ac:dyDescent="0.25">
      <c r="A44" s="226"/>
      <c r="B44" s="514"/>
      <c r="C44" s="1637" t="s">
        <v>124</v>
      </c>
      <c r="D44" s="1637"/>
      <c r="E44" s="1637"/>
      <c r="F44" s="1637"/>
      <c r="G44" s="226"/>
      <c r="H44" s="226"/>
      <c r="I44" s="226"/>
      <c r="J44" s="226"/>
      <c r="K44" s="226"/>
      <c r="L44" s="226"/>
      <c r="M44" s="226"/>
      <c r="N44" s="49" t="str">
        <f>IF(AND(C44&lt;&gt;"Select",C44&lt;&gt;"",C44&lt;&gt;"other materials"),"Yes","No")</f>
        <v>No</v>
      </c>
      <c r="O44" s="526" t="s">
        <v>928</v>
      </c>
    </row>
    <row r="45" spans="1:18" s="38" customFormat="1" ht="16.5" customHeight="1" x14ac:dyDescent="0.25">
      <c r="A45" s="226"/>
      <c r="B45" s="675"/>
      <c r="C45" s="1637" t="s">
        <v>124</v>
      </c>
      <c r="D45" s="1637"/>
      <c r="E45" s="1637"/>
      <c r="F45" s="1637"/>
      <c r="G45" s="226"/>
      <c r="H45" s="226"/>
      <c r="I45" s="226"/>
      <c r="J45" s="226"/>
      <c r="K45" s="226"/>
      <c r="L45" s="226"/>
      <c r="M45" s="226"/>
      <c r="N45" s="49" t="str">
        <f>IF(AND(C45&lt;&gt;"Select",C45&lt;&gt;"",C45&lt;&gt;"other materials"),"Yes","No")</f>
        <v>No</v>
      </c>
      <c r="O45" s="526" t="s">
        <v>518</v>
      </c>
    </row>
    <row r="46" spans="1:18" s="38" customFormat="1" ht="16.5" customHeight="1" x14ac:dyDescent="0.25">
      <c r="A46" s="226"/>
      <c r="B46" s="514"/>
      <c r="C46" s="1637" t="s">
        <v>124</v>
      </c>
      <c r="D46" s="1637"/>
      <c r="E46" s="1637"/>
      <c r="F46" s="1637"/>
      <c r="G46" s="226"/>
      <c r="H46" s="226"/>
      <c r="I46" s="226"/>
      <c r="J46" s="226"/>
      <c r="K46" s="226"/>
      <c r="L46" s="226"/>
      <c r="M46" s="226"/>
      <c r="N46" s="49" t="str">
        <f>IF(AND(C46&lt;&gt;"Select",C46&lt;&gt;"",C46&lt;&gt;"other materials"),"Yes","No")</f>
        <v>No</v>
      </c>
      <c r="O46" s="526" t="s">
        <v>929</v>
      </c>
    </row>
    <row r="47" spans="1:18" s="38" customFormat="1" ht="18" customHeight="1" x14ac:dyDescent="0.25">
      <c r="A47" s="226"/>
      <c r="B47" s="514"/>
      <c r="C47" s="1637" t="s">
        <v>124</v>
      </c>
      <c r="D47" s="1637"/>
      <c r="E47" s="1637"/>
      <c r="F47" s="1637"/>
      <c r="G47" s="226"/>
      <c r="H47" s="226"/>
      <c r="I47" s="226"/>
      <c r="J47" s="226"/>
      <c r="K47" s="226"/>
      <c r="L47" s="226"/>
      <c r="M47" s="226"/>
      <c r="N47" s="49" t="str">
        <f>IF(AND(C47&lt;&gt;"Select",C47&lt;&gt;"",C47&lt;&gt;"other materials"),"Yes","No")</f>
        <v>No</v>
      </c>
      <c r="O47" s="526" t="s">
        <v>529</v>
      </c>
      <c r="P47" s="527"/>
      <c r="Q47" s="527"/>
    </row>
    <row r="48" spans="1:18" s="38" customFormat="1" ht="16.5" customHeight="1" x14ac:dyDescent="0.25">
      <c r="A48" s="226"/>
      <c r="B48" s="226"/>
      <c r="C48" s="226"/>
      <c r="D48" s="226"/>
      <c r="E48" s="226"/>
      <c r="F48" s="226"/>
      <c r="G48" s="226"/>
      <c r="H48" s="226"/>
      <c r="I48" s="226"/>
      <c r="J48" s="226"/>
      <c r="K48" s="226"/>
      <c r="L48" s="226"/>
      <c r="M48" s="226"/>
      <c r="N48" s="49"/>
      <c r="Q48" s="527"/>
      <c r="R48" s="527"/>
    </row>
    <row r="49" spans="1:14" s="38" customFormat="1" ht="18" customHeight="1" x14ac:dyDescent="0.25">
      <c r="A49" s="226"/>
      <c r="B49" s="1623" t="s">
        <v>707</v>
      </c>
      <c r="C49" s="1623"/>
      <c r="D49" s="208" t="str">
        <f>IF(COUNTIF(N43:N47,"Yes")&gt;0, IF(COUNTIF(C43:D47,"other materials")&gt;0,"No","Yes"),"No")</f>
        <v>No</v>
      </c>
      <c r="E49" s="226"/>
      <c r="F49" s="226"/>
      <c r="G49" s="226"/>
      <c r="H49" s="226"/>
      <c r="I49" s="226"/>
      <c r="J49" s="226"/>
      <c r="K49" s="226"/>
      <c r="L49" s="226"/>
      <c r="M49" s="226"/>
      <c r="N49" s="226"/>
    </row>
    <row r="50" spans="1:14" s="38" customFormat="1" x14ac:dyDescent="0.25">
      <c r="A50" s="226"/>
      <c r="B50" s="226"/>
      <c r="C50" s="226"/>
      <c r="D50" s="226"/>
      <c r="E50" s="226"/>
      <c r="F50" s="226"/>
      <c r="G50" s="226"/>
      <c r="H50" s="226"/>
      <c r="I50" s="226"/>
      <c r="J50" s="226"/>
      <c r="K50" s="226"/>
      <c r="L50" s="226"/>
      <c r="M50" s="226"/>
      <c r="N50" s="226"/>
    </row>
    <row r="51" spans="1:14" s="38" customFormat="1" ht="16.5" customHeight="1" x14ac:dyDescent="0.25">
      <c r="A51" s="1592" t="s">
        <v>186</v>
      </c>
      <c r="B51" s="1592"/>
      <c r="C51" s="1592"/>
      <c r="D51" s="226"/>
      <c r="E51" s="226"/>
      <c r="F51" s="226"/>
      <c r="G51" s="226"/>
      <c r="H51" s="226"/>
      <c r="I51" s="226"/>
      <c r="J51" s="226"/>
      <c r="K51" s="226"/>
      <c r="L51" s="226"/>
      <c r="M51" s="226"/>
      <c r="N51" s="49"/>
    </row>
    <row r="52" spans="1:14" s="38" customFormat="1" ht="15" customHeight="1" x14ac:dyDescent="0.25">
      <c r="A52" s="226"/>
      <c r="B52" s="226"/>
      <c r="C52" s="226"/>
      <c r="D52" s="226"/>
      <c r="E52" s="226"/>
      <c r="F52" s="226"/>
      <c r="G52" s="226"/>
      <c r="H52" s="226"/>
      <c r="I52" s="226"/>
      <c r="J52" s="226"/>
      <c r="K52" s="226"/>
      <c r="L52" s="226"/>
      <c r="M52" s="226"/>
      <c r="N52" s="49"/>
    </row>
    <row r="53" spans="1:14" s="38" customFormat="1" ht="18" customHeight="1" x14ac:dyDescent="0.25">
      <c r="A53" s="190"/>
      <c r="B53" s="1582" t="s">
        <v>1739</v>
      </c>
      <c r="C53" s="1583"/>
      <c r="D53" s="1583"/>
      <c r="E53" s="1583"/>
      <c r="F53" s="1583"/>
      <c r="G53" s="934" t="s">
        <v>1737</v>
      </c>
      <c r="H53" s="1589" t="s">
        <v>1738</v>
      </c>
      <c r="I53" s="1590"/>
      <c r="J53" s="190"/>
      <c r="K53" s="190"/>
      <c r="L53" s="226"/>
      <c r="M53" s="226"/>
      <c r="N53" s="49"/>
    </row>
    <row r="54" spans="1:14" s="38" customFormat="1" ht="24" customHeight="1" x14ac:dyDescent="0.25">
      <c r="A54" s="190"/>
      <c r="B54" s="1576" t="s">
        <v>1286</v>
      </c>
      <c r="C54" s="1577"/>
      <c r="D54" s="1577"/>
      <c r="E54" s="1577"/>
      <c r="F54" s="1578"/>
      <c r="G54" s="300" t="s">
        <v>124</v>
      </c>
      <c r="H54" s="1587"/>
      <c r="I54" s="1588"/>
      <c r="J54" s="190"/>
      <c r="K54" s="190"/>
      <c r="L54" s="226"/>
      <c r="M54" s="226"/>
      <c r="N54" s="49"/>
    </row>
    <row r="55" spans="1:14" s="38" customFormat="1" ht="27" customHeight="1" x14ac:dyDescent="0.25">
      <c r="A55" s="190"/>
      <c r="B55" s="1576" t="s">
        <v>1365</v>
      </c>
      <c r="C55" s="1577"/>
      <c r="D55" s="1577"/>
      <c r="E55" s="1577"/>
      <c r="F55" s="1578"/>
      <c r="G55" s="675" t="s">
        <v>124</v>
      </c>
      <c r="H55" s="1587"/>
      <c r="I55" s="1588"/>
      <c r="J55" s="190"/>
      <c r="K55" s="190"/>
      <c r="L55" s="226"/>
      <c r="M55" s="226"/>
      <c r="N55" s="49"/>
    </row>
    <row r="56" spans="1:14" s="38" customFormat="1" ht="16.5" customHeight="1" x14ac:dyDescent="0.25">
      <c r="A56" s="190"/>
      <c r="B56" s="190"/>
      <c r="C56" s="190"/>
      <c r="D56" s="190"/>
      <c r="E56" s="190"/>
      <c r="F56" s="190"/>
      <c r="G56" s="190"/>
      <c r="H56" s="190"/>
      <c r="I56" s="190"/>
      <c r="J56" s="190"/>
      <c r="K56" s="190"/>
      <c r="L56" s="226"/>
      <c r="M56" s="226"/>
      <c r="N56" s="49"/>
    </row>
    <row r="57" spans="1:14" s="38" customFormat="1" ht="16.5" customHeight="1" x14ac:dyDescent="0.25">
      <c r="A57" s="1592" t="s">
        <v>22</v>
      </c>
      <c r="B57" s="1592"/>
      <c r="C57" s="1592"/>
      <c r="D57" s="190"/>
      <c r="E57" s="190"/>
      <c r="F57" s="190"/>
      <c r="G57" s="190"/>
      <c r="H57" s="190"/>
      <c r="I57" s="190"/>
      <c r="J57" s="190"/>
      <c r="K57" s="190"/>
      <c r="L57" s="226"/>
      <c r="M57" s="226"/>
      <c r="N57" s="49"/>
    </row>
    <row r="58" spans="1:14" s="38" customFormat="1" ht="15" customHeight="1" x14ac:dyDescent="0.25">
      <c r="A58" s="190"/>
      <c r="B58" s="190"/>
      <c r="C58" s="190"/>
      <c r="D58" s="190"/>
      <c r="E58" s="190"/>
      <c r="F58" s="190"/>
      <c r="G58" s="190"/>
      <c r="H58" s="190"/>
      <c r="I58" s="190"/>
      <c r="J58" s="190"/>
      <c r="K58" s="190"/>
      <c r="L58" s="226"/>
      <c r="M58" s="226"/>
      <c r="N58" s="49"/>
    </row>
    <row r="59" spans="1:14" s="38" customFormat="1" ht="18" customHeight="1" x14ac:dyDescent="0.25">
      <c r="A59" s="190"/>
      <c r="B59" s="171" t="s">
        <v>53</v>
      </c>
      <c r="C59" s="1328" t="str">
        <f>IF($D$11="Prescriptive Path",IF(D49="Yes",1,0),"/")</f>
        <v>/</v>
      </c>
      <c r="D59" s="190"/>
      <c r="E59" s="190"/>
      <c r="F59" s="190"/>
      <c r="G59" s="190"/>
      <c r="H59" s="190"/>
      <c r="I59" s="190"/>
      <c r="J59" s="190"/>
      <c r="K59" s="190"/>
      <c r="L59" s="226"/>
      <c r="M59" s="226"/>
      <c r="N59" s="49"/>
    </row>
    <row r="60" spans="1:14" s="38" customFormat="1" ht="18" customHeight="1" x14ac:dyDescent="0.25">
      <c r="A60" s="190"/>
      <c r="B60" s="171" t="s">
        <v>492</v>
      </c>
      <c r="C60" s="1328" t="str">
        <f>IF($D$11="Prescriptive Path",IF(AND(G54="Submitted",G55="Submitted",C59&gt;0),"Yes","No"),"/")</f>
        <v>/</v>
      </c>
      <c r="D60" s="190"/>
      <c r="E60" s="190"/>
      <c r="F60" s="190"/>
      <c r="G60" s="190"/>
      <c r="H60" s="190"/>
      <c r="I60" s="190"/>
      <c r="J60" s="190"/>
      <c r="K60" s="190"/>
      <c r="L60" s="226"/>
      <c r="M60" s="226"/>
      <c r="N60" s="49"/>
    </row>
    <row r="61" spans="1:14" s="38" customFormat="1" ht="12" customHeight="1" x14ac:dyDescent="0.25">
      <c r="A61" s="190"/>
      <c r="B61" s="190"/>
      <c r="C61" s="190"/>
      <c r="D61" s="190"/>
      <c r="E61" s="190"/>
      <c r="F61" s="190"/>
      <c r="G61" s="190"/>
      <c r="H61" s="190"/>
      <c r="I61" s="190"/>
      <c r="J61" s="190"/>
      <c r="K61" s="190"/>
      <c r="L61" s="226"/>
      <c r="M61" s="226"/>
      <c r="N61" s="49"/>
    </row>
    <row r="62" spans="1:14" s="38" customFormat="1" ht="12" customHeight="1" x14ac:dyDescent="0.25">
      <c r="A62" s="226"/>
      <c r="B62" s="226"/>
      <c r="C62" s="226"/>
      <c r="D62" s="226"/>
      <c r="E62" s="226"/>
      <c r="F62" s="226"/>
      <c r="G62" s="226"/>
      <c r="H62" s="226"/>
      <c r="I62" s="226"/>
      <c r="J62" s="226"/>
      <c r="K62" s="226"/>
      <c r="L62" s="226"/>
      <c r="M62" s="226"/>
      <c r="N62" s="226"/>
    </row>
    <row r="63" spans="1:14" s="38" customFormat="1" ht="18" customHeight="1" x14ac:dyDescent="0.25">
      <c r="A63" s="1592" t="s">
        <v>704</v>
      </c>
      <c r="B63" s="1592"/>
      <c r="C63" s="1592"/>
      <c r="D63" s="1592"/>
      <c r="E63" s="1592"/>
      <c r="F63" s="1592"/>
      <c r="G63" s="1592"/>
      <c r="H63" s="1592"/>
      <c r="I63" s="1592"/>
      <c r="J63" s="1592"/>
      <c r="K63" s="1592"/>
      <c r="L63" s="1592"/>
      <c r="M63" s="1592"/>
      <c r="N63" s="49"/>
    </row>
    <row r="64" spans="1:14" s="38" customFormat="1" x14ac:dyDescent="0.25">
      <c r="A64" s="190"/>
      <c r="B64" s="190"/>
      <c r="C64" s="190"/>
      <c r="D64" s="190"/>
      <c r="E64" s="190"/>
      <c r="F64" s="226"/>
      <c r="G64" s="226"/>
      <c r="H64" s="226"/>
      <c r="I64" s="226"/>
      <c r="J64" s="226"/>
      <c r="K64" s="226"/>
      <c r="L64" s="226"/>
      <c r="M64" s="226"/>
      <c r="N64" s="49"/>
    </row>
    <row r="65" spans="1:15" s="38" customFormat="1" ht="16.5" customHeight="1" x14ac:dyDescent="0.25">
      <c r="A65" s="1592" t="s">
        <v>245</v>
      </c>
      <c r="B65" s="1592"/>
      <c r="C65" s="1592"/>
      <c r="D65" s="226"/>
      <c r="E65" s="226"/>
      <c r="F65" s="226"/>
      <c r="G65" s="226"/>
      <c r="H65" s="226"/>
      <c r="I65" s="226"/>
      <c r="J65" s="226"/>
      <c r="K65" s="226"/>
      <c r="L65" s="226"/>
      <c r="M65" s="226"/>
      <c r="N65" s="49"/>
    </row>
    <row r="66" spans="1:15" s="38" customFormat="1" x14ac:dyDescent="0.25">
      <c r="A66" s="226"/>
      <c r="B66" s="226"/>
      <c r="C66" s="226"/>
      <c r="D66" s="226"/>
      <c r="E66" s="226"/>
      <c r="F66" s="226"/>
      <c r="G66" s="226"/>
      <c r="H66" s="226"/>
      <c r="I66" s="226"/>
      <c r="J66" s="226"/>
      <c r="K66" s="226"/>
      <c r="L66" s="226"/>
      <c r="M66" s="226"/>
      <c r="N66" s="49"/>
    </row>
    <row r="67" spans="1:15" s="38" customFormat="1" x14ac:dyDescent="0.25">
      <c r="A67" s="226"/>
      <c r="B67" s="1644" t="s">
        <v>1279</v>
      </c>
      <c r="C67" s="1645"/>
      <c r="D67" s="1645"/>
      <c r="E67" s="1645"/>
      <c r="F67" s="1645"/>
      <c r="G67" s="1645"/>
      <c r="H67" s="1646"/>
      <c r="I67" s="226"/>
      <c r="J67" s="226"/>
      <c r="K67" s="226"/>
      <c r="L67" s="226"/>
      <c r="M67" s="226"/>
      <c r="N67" s="49"/>
    </row>
    <row r="68" spans="1:15" s="38" customFormat="1" x14ac:dyDescent="0.25">
      <c r="A68" s="226"/>
      <c r="B68" s="1620" t="s">
        <v>1280</v>
      </c>
      <c r="C68" s="1621"/>
      <c r="D68" s="1621"/>
      <c r="E68" s="1621"/>
      <c r="F68" s="1621"/>
      <c r="G68" s="1621"/>
      <c r="H68" s="1622"/>
      <c r="I68" s="226"/>
      <c r="J68" s="226"/>
      <c r="K68" s="226"/>
      <c r="L68" s="226"/>
      <c r="M68" s="226"/>
      <c r="N68" s="49"/>
    </row>
    <row r="69" spans="1:15" s="38" customFormat="1" x14ac:dyDescent="0.25">
      <c r="A69" s="226"/>
      <c r="B69" s="1620" t="s">
        <v>1284</v>
      </c>
      <c r="C69" s="1621"/>
      <c r="D69" s="1621"/>
      <c r="E69" s="1621"/>
      <c r="F69" s="1621"/>
      <c r="G69" s="1621"/>
      <c r="H69" s="1622"/>
      <c r="I69" s="226"/>
      <c r="J69" s="226"/>
      <c r="K69" s="226"/>
      <c r="L69" s="226"/>
      <c r="M69" s="226"/>
      <c r="N69" s="49"/>
    </row>
    <row r="70" spans="1:15" s="38" customFormat="1" x14ac:dyDescent="0.25">
      <c r="A70" s="226"/>
      <c r="B70" s="1620" t="s">
        <v>1281</v>
      </c>
      <c r="C70" s="1621"/>
      <c r="D70" s="1621"/>
      <c r="E70" s="1621"/>
      <c r="F70" s="1621"/>
      <c r="G70" s="1621"/>
      <c r="H70" s="1622"/>
      <c r="I70" s="226"/>
      <c r="J70" s="226"/>
      <c r="K70" s="226"/>
      <c r="L70" s="226"/>
      <c r="M70" s="226"/>
      <c r="N70" s="49"/>
    </row>
    <row r="71" spans="1:15" s="38" customFormat="1" x14ac:dyDescent="0.25">
      <c r="A71" s="226"/>
      <c r="B71" s="1620" t="s">
        <v>1282</v>
      </c>
      <c r="C71" s="1621"/>
      <c r="D71" s="1621"/>
      <c r="E71" s="1621"/>
      <c r="F71" s="1621"/>
      <c r="G71" s="1621"/>
      <c r="H71" s="1622"/>
      <c r="I71" s="226"/>
      <c r="J71" s="226"/>
      <c r="K71" s="226"/>
      <c r="L71" s="226"/>
      <c r="M71" s="226"/>
      <c r="N71" s="49"/>
    </row>
    <row r="72" spans="1:15" s="38" customFormat="1" x14ac:dyDescent="0.25">
      <c r="A72" s="226"/>
      <c r="B72" s="1647" t="s">
        <v>1131</v>
      </c>
      <c r="C72" s="1648"/>
      <c r="D72" s="1648"/>
      <c r="E72" s="1648"/>
      <c r="F72" s="1648"/>
      <c r="G72" s="1648"/>
      <c r="H72" s="1649"/>
      <c r="I72" s="226"/>
      <c r="J72" s="226"/>
      <c r="K72" s="226"/>
      <c r="L72" s="226"/>
      <c r="M72" s="226"/>
      <c r="N72" s="49"/>
    </row>
    <row r="73" spans="1:15" s="38" customFormat="1" x14ac:dyDescent="0.25">
      <c r="A73" s="226"/>
      <c r="B73" s="226"/>
      <c r="C73" s="226"/>
      <c r="D73" s="226"/>
      <c r="E73" s="226"/>
      <c r="F73" s="226"/>
      <c r="G73" s="226"/>
      <c r="H73" s="226"/>
      <c r="I73" s="226"/>
      <c r="J73" s="226"/>
      <c r="K73" s="226"/>
      <c r="L73" s="226"/>
      <c r="M73" s="226"/>
      <c r="N73" s="49"/>
    </row>
    <row r="74" spans="1:15" s="38" customFormat="1" x14ac:dyDescent="0.25">
      <c r="A74" s="190"/>
      <c r="B74" s="621" t="s">
        <v>936</v>
      </c>
      <c r="C74" s="190"/>
      <c r="D74" s="190"/>
      <c r="E74" s="190"/>
      <c r="F74" s="226"/>
      <c r="G74" s="226"/>
      <c r="H74" s="226"/>
      <c r="I74" s="226"/>
      <c r="J74" s="226"/>
      <c r="K74" s="226"/>
      <c r="L74" s="226"/>
      <c r="M74" s="226"/>
      <c r="N74" s="49"/>
    </row>
    <row r="75" spans="1:15" s="38" customFormat="1" ht="9" customHeight="1" x14ac:dyDescent="0.25">
      <c r="A75" s="226"/>
      <c r="B75" s="228"/>
      <c r="C75" s="226"/>
      <c r="D75" s="226"/>
      <c r="E75" s="226"/>
      <c r="F75" s="226"/>
      <c r="G75" s="226"/>
      <c r="H75" s="226"/>
      <c r="I75" s="226"/>
      <c r="J75" s="226"/>
      <c r="K75" s="226"/>
      <c r="L75" s="226"/>
      <c r="M75" s="226"/>
      <c r="N75" s="49"/>
      <c r="O75" s="38" t="s">
        <v>124</v>
      </c>
    </row>
    <row r="76" spans="1:15" s="38" customFormat="1" ht="18" customHeight="1" x14ac:dyDescent="0.25">
      <c r="A76" s="226"/>
      <c r="B76" s="511" t="s">
        <v>934</v>
      </c>
      <c r="C76" s="1599" t="s">
        <v>933</v>
      </c>
      <c r="D76" s="1599"/>
      <c r="E76" s="1599" t="s">
        <v>30</v>
      </c>
      <c r="F76" s="1666"/>
      <c r="G76" s="226"/>
      <c r="H76" s="226"/>
      <c r="I76" s="226"/>
      <c r="J76" s="226"/>
      <c r="K76" s="226"/>
      <c r="L76" s="226"/>
      <c r="M76" s="226"/>
      <c r="N76" s="49"/>
      <c r="O76" s="526" t="s">
        <v>931</v>
      </c>
    </row>
    <row r="77" spans="1:15" s="38" customFormat="1" ht="16.5" customHeight="1" x14ac:dyDescent="0.25">
      <c r="A77" s="226"/>
      <c r="B77" s="515"/>
      <c r="C77" s="1637" t="s">
        <v>124</v>
      </c>
      <c r="D77" s="1637"/>
      <c r="E77" s="1637"/>
      <c r="F77" s="1637"/>
      <c r="G77" s="226"/>
      <c r="H77" s="226"/>
      <c r="I77" s="226"/>
      <c r="J77" s="226"/>
      <c r="K77" s="226"/>
      <c r="L77" s="226"/>
      <c r="M77" s="226"/>
      <c r="N77" s="49" t="str">
        <f>IF(AND(C77&lt;&gt;"Select",C77&lt;&gt;"",C77&lt;&gt;"other materials"),"Yes","No")</f>
        <v>No</v>
      </c>
      <c r="O77" s="526" t="s">
        <v>928</v>
      </c>
    </row>
    <row r="78" spans="1:15" s="38" customFormat="1" ht="16.5" customHeight="1" x14ac:dyDescent="0.25">
      <c r="A78" s="226"/>
      <c r="B78" s="514"/>
      <c r="C78" s="1637" t="s">
        <v>124</v>
      </c>
      <c r="D78" s="1637"/>
      <c r="E78" s="1637"/>
      <c r="F78" s="1637"/>
      <c r="G78" s="226"/>
      <c r="H78" s="226"/>
      <c r="I78" s="226"/>
      <c r="J78" s="226"/>
      <c r="K78" s="226"/>
      <c r="L78" s="226"/>
      <c r="M78" s="226"/>
      <c r="N78" s="49" t="str">
        <f>IF(AND(C78&lt;&gt;"Select",C78&lt;&gt;"",C78&lt;&gt;"other materials"),"Yes","No")</f>
        <v>No</v>
      </c>
      <c r="O78" s="526" t="s">
        <v>932</v>
      </c>
    </row>
    <row r="79" spans="1:15" s="38" customFormat="1" ht="16.5" customHeight="1" x14ac:dyDescent="0.25">
      <c r="A79" s="226"/>
      <c r="B79" s="675"/>
      <c r="C79" s="1637" t="s">
        <v>124</v>
      </c>
      <c r="D79" s="1637"/>
      <c r="E79" s="1637"/>
      <c r="F79" s="1637"/>
      <c r="G79" s="226"/>
      <c r="H79" s="226"/>
      <c r="I79" s="226"/>
      <c r="J79" s="226"/>
      <c r="K79" s="226"/>
      <c r="L79" s="226"/>
      <c r="M79" s="226"/>
      <c r="N79" s="49" t="str">
        <f>IF(AND(C79&lt;&gt;"Select",C79&lt;&gt;"",C79&lt;&gt;"other materials"),"Yes","No")</f>
        <v>No</v>
      </c>
      <c r="O79" s="38" t="s">
        <v>520</v>
      </c>
    </row>
    <row r="80" spans="1:15" s="38" customFormat="1" ht="16.5" customHeight="1" x14ac:dyDescent="0.25">
      <c r="A80" s="226"/>
      <c r="B80" s="514"/>
      <c r="C80" s="1637" t="s">
        <v>124</v>
      </c>
      <c r="D80" s="1637"/>
      <c r="E80" s="1637"/>
      <c r="F80" s="1637"/>
      <c r="G80" s="226"/>
      <c r="H80" s="226"/>
      <c r="I80" s="226"/>
      <c r="J80" s="226"/>
      <c r="K80" s="226"/>
      <c r="L80" s="226"/>
      <c r="M80" s="226"/>
      <c r="N80" s="49" t="str">
        <f>IF(AND(C80&lt;&gt;"Select",C80&lt;&gt;"",C80&lt;&gt;"other materials"),"Yes","No")</f>
        <v>No</v>
      </c>
      <c r="O80" s="526" t="s">
        <v>929</v>
      </c>
    </row>
    <row r="81" spans="1:17" s="38" customFormat="1" ht="18" customHeight="1" x14ac:dyDescent="0.25">
      <c r="A81" s="226"/>
      <c r="B81" s="514"/>
      <c r="C81" s="1637" t="s">
        <v>124</v>
      </c>
      <c r="D81" s="1637"/>
      <c r="E81" s="1637"/>
      <c r="F81" s="1637"/>
      <c r="G81" s="226"/>
      <c r="H81" s="226"/>
      <c r="I81" s="226"/>
      <c r="J81" s="226"/>
      <c r="K81" s="226"/>
      <c r="L81" s="226"/>
      <c r="M81" s="226"/>
      <c r="N81" s="49" t="str">
        <f>IF(AND(C81&lt;&gt;"Select",C81&lt;&gt;"",C81&lt;&gt;"other materials"),"Yes","No")</f>
        <v>No</v>
      </c>
      <c r="O81" s="526" t="s">
        <v>529</v>
      </c>
      <c r="P81" s="527"/>
      <c r="Q81" s="527"/>
    </row>
    <row r="82" spans="1:17" s="38" customFormat="1" ht="16.5" customHeight="1" x14ac:dyDescent="0.25">
      <c r="A82" s="226"/>
      <c r="B82" s="226"/>
      <c r="C82" s="226"/>
      <c r="D82" s="226"/>
      <c r="E82" s="226"/>
      <c r="F82" s="226"/>
      <c r="G82" s="226"/>
      <c r="H82" s="226"/>
      <c r="I82" s="226"/>
      <c r="J82" s="226"/>
      <c r="K82" s="226"/>
      <c r="L82" s="226"/>
      <c r="M82" s="226"/>
      <c r="N82" s="226"/>
      <c r="P82" s="527"/>
      <c r="Q82" s="527"/>
    </row>
    <row r="83" spans="1:17" s="38" customFormat="1" ht="18" customHeight="1" x14ac:dyDescent="0.25">
      <c r="A83" s="226"/>
      <c r="B83" s="1623" t="s">
        <v>708</v>
      </c>
      <c r="C83" s="1623"/>
      <c r="D83" s="208" t="str">
        <f>IF(COUNTIF(N77:N81,"Yes")&gt;0, IF(COUNTIF(C77:D81,"other materials")&gt;0,"No","Yes"),"No")</f>
        <v>No</v>
      </c>
      <c r="E83" s="226"/>
      <c r="F83" s="226"/>
      <c r="G83" s="226"/>
      <c r="H83" s="226"/>
      <c r="I83" s="226"/>
      <c r="J83" s="226"/>
      <c r="K83" s="226"/>
      <c r="L83" s="226"/>
      <c r="M83" s="226"/>
      <c r="N83" s="226"/>
    </row>
    <row r="84" spans="1:17" s="38" customFormat="1" ht="19.5" customHeight="1" x14ac:dyDescent="0.25">
      <c r="A84" s="226"/>
      <c r="B84" s="226"/>
      <c r="C84" s="226"/>
      <c r="D84" s="226"/>
      <c r="E84" s="226"/>
      <c r="F84" s="226"/>
      <c r="G84" s="226"/>
      <c r="H84" s="226"/>
      <c r="I84" s="226"/>
      <c r="J84" s="226"/>
      <c r="K84" s="226"/>
      <c r="L84" s="226"/>
      <c r="M84" s="226"/>
      <c r="N84" s="226"/>
    </row>
    <row r="85" spans="1:17" s="38" customFormat="1" ht="16.5" customHeight="1" x14ac:dyDescent="0.25">
      <c r="A85" s="1592" t="s">
        <v>186</v>
      </c>
      <c r="B85" s="1592"/>
      <c r="C85" s="1592"/>
      <c r="D85" s="226"/>
      <c r="E85" s="226"/>
      <c r="F85" s="226"/>
      <c r="G85" s="226"/>
      <c r="H85" s="226"/>
      <c r="I85" s="226"/>
      <c r="J85" s="226"/>
      <c r="K85" s="226"/>
      <c r="L85" s="226"/>
      <c r="M85" s="226"/>
      <c r="N85" s="49"/>
    </row>
    <row r="86" spans="1:17" s="38" customFormat="1" ht="16.5" customHeight="1" x14ac:dyDescent="0.25">
      <c r="A86" s="226"/>
      <c r="B86" s="226"/>
      <c r="C86" s="226"/>
      <c r="D86" s="226"/>
      <c r="E86" s="226"/>
      <c r="F86" s="226"/>
      <c r="G86" s="226"/>
      <c r="H86" s="226"/>
      <c r="I86" s="226"/>
      <c r="J86" s="226"/>
      <c r="K86" s="226"/>
      <c r="L86" s="226"/>
      <c r="M86" s="226"/>
      <c r="N86" s="49"/>
    </row>
    <row r="87" spans="1:17" s="38" customFormat="1" ht="18" customHeight="1" x14ac:dyDescent="0.25">
      <c r="A87" s="190"/>
      <c r="B87" s="1582" t="s">
        <v>1739</v>
      </c>
      <c r="C87" s="1583"/>
      <c r="D87" s="1583"/>
      <c r="E87" s="1583"/>
      <c r="F87" s="1583"/>
      <c r="G87" s="934" t="s">
        <v>1737</v>
      </c>
      <c r="H87" s="1589" t="s">
        <v>1738</v>
      </c>
      <c r="I87" s="1590"/>
      <c r="J87" s="190"/>
      <c r="K87" s="190"/>
      <c r="L87" s="226"/>
      <c r="M87" s="226"/>
      <c r="N87" s="49"/>
    </row>
    <row r="88" spans="1:17" s="38" customFormat="1" ht="24" customHeight="1" x14ac:dyDescent="0.25">
      <c r="A88" s="190"/>
      <c r="B88" s="1576" t="s">
        <v>1287</v>
      </c>
      <c r="C88" s="1577"/>
      <c r="D88" s="1577"/>
      <c r="E88" s="1577"/>
      <c r="F88" s="1578"/>
      <c r="G88" s="675" t="s">
        <v>124</v>
      </c>
      <c r="H88" s="1587"/>
      <c r="I88" s="1588"/>
      <c r="J88" s="190"/>
      <c r="K88" s="190"/>
      <c r="L88" s="226"/>
      <c r="M88" s="226"/>
      <c r="N88" s="49"/>
    </row>
    <row r="89" spans="1:17" s="38" customFormat="1" ht="27" customHeight="1" x14ac:dyDescent="0.25">
      <c r="A89" s="190"/>
      <c r="B89" s="1576" t="s">
        <v>1365</v>
      </c>
      <c r="C89" s="1577"/>
      <c r="D89" s="1577"/>
      <c r="E89" s="1577"/>
      <c r="F89" s="1578"/>
      <c r="G89" s="675" t="s">
        <v>124</v>
      </c>
      <c r="H89" s="1587"/>
      <c r="I89" s="1588"/>
      <c r="J89" s="190"/>
      <c r="K89" s="190"/>
      <c r="L89" s="226"/>
      <c r="M89" s="226"/>
      <c r="N89" s="49"/>
    </row>
    <row r="90" spans="1:17" s="38" customFormat="1" ht="18" customHeight="1" x14ac:dyDescent="0.25">
      <c r="A90" s="190"/>
      <c r="B90" s="190"/>
      <c r="C90" s="190"/>
      <c r="D90" s="190"/>
      <c r="E90" s="190"/>
      <c r="F90" s="190"/>
      <c r="G90" s="190"/>
      <c r="H90" s="190"/>
      <c r="I90" s="190"/>
      <c r="J90" s="190"/>
      <c r="K90" s="190"/>
      <c r="L90" s="226"/>
      <c r="M90" s="226"/>
      <c r="N90" s="49"/>
    </row>
    <row r="91" spans="1:17" s="38" customFormat="1" ht="16.5" customHeight="1" x14ac:dyDescent="0.25">
      <c r="A91" s="1592" t="s">
        <v>22</v>
      </c>
      <c r="B91" s="1592"/>
      <c r="C91" s="1592"/>
      <c r="D91" s="190"/>
      <c r="E91" s="190"/>
      <c r="F91" s="190"/>
      <c r="G91" s="190"/>
      <c r="H91" s="190"/>
      <c r="I91" s="190"/>
      <c r="J91" s="190"/>
      <c r="K91" s="190"/>
      <c r="L91" s="226"/>
      <c r="M91" s="226"/>
      <c r="N91" s="49"/>
    </row>
    <row r="92" spans="1:17" s="38" customFormat="1" ht="16.5" customHeight="1" x14ac:dyDescent="0.25">
      <c r="A92" s="190"/>
      <c r="B92" s="190"/>
      <c r="C92" s="190"/>
      <c r="D92" s="190"/>
      <c r="E92" s="190"/>
      <c r="F92" s="190"/>
      <c r="G92" s="190"/>
      <c r="H92" s="190"/>
      <c r="I92" s="190"/>
      <c r="J92" s="190"/>
      <c r="K92" s="190"/>
      <c r="L92" s="226"/>
      <c r="M92" s="226"/>
      <c r="N92" s="49"/>
    </row>
    <row r="93" spans="1:17" s="38" customFormat="1" ht="18" customHeight="1" x14ac:dyDescent="0.25">
      <c r="A93" s="190"/>
      <c r="B93" s="171" t="s">
        <v>53</v>
      </c>
      <c r="C93" s="1328" t="str">
        <f>IF($D$11="Prescriptive Path",IF(D83="Yes",1,0),"/")</f>
        <v>/</v>
      </c>
      <c r="D93" s="190"/>
      <c r="E93" s="190"/>
      <c r="F93" s="190"/>
      <c r="G93" s="190"/>
      <c r="H93" s="190"/>
      <c r="I93" s="190"/>
      <c r="J93" s="190"/>
      <c r="K93" s="190"/>
      <c r="L93" s="226"/>
      <c r="M93" s="226"/>
      <c r="N93" s="49"/>
    </row>
    <row r="94" spans="1:17" s="38" customFormat="1" ht="18" customHeight="1" x14ac:dyDescent="0.25">
      <c r="A94" s="190"/>
      <c r="B94" s="171" t="s">
        <v>492</v>
      </c>
      <c r="C94" s="1328" t="str">
        <f>IF($D$11="Prescriptive Path",IF(AND(G88="Submitted",G89="Submitted",C93&gt;0),"Yes","No"),"/")</f>
        <v>/</v>
      </c>
      <c r="D94" s="190"/>
      <c r="E94" s="190"/>
      <c r="F94" s="190"/>
      <c r="G94" s="190"/>
      <c r="H94" s="190"/>
      <c r="I94" s="190"/>
      <c r="J94" s="190"/>
      <c r="K94" s="190"/>
      <c r="L94" s="226"/>
      <c r="M94" s="226"/>
      <c r="N94" s="49"/>
    </row>
    <row r="95" spans="1:17" s="38" customFormat="1" ht="19.5" customHeight="1" x14ac:dyDescent="0.25">
      <c r="A95" s="190"/>
      <c r="B95" s="190"/>
      <c r="C95" s="190"/>
      <c r="D95" s="190"/>
      <c r="E95" s="190"/>
      <c r="F95" s="190"/>
      <c r="G95" s="190"/>
      <c r="H95" s="190"/>
      <c r="I95" s="190"/>
      <c r="J95" s="190"/>
      <c r="K95" s="190"/>
      <c r="L95" s="226"/>
      <c r="M95" s="226"/>
      <c r="N95" s="49"/>
    </row>
    <row r="96" spans="1:17" s="38" customFormat="1" ht="18" customHeight="1" x14ac:dyDescent="0.25">
      <c r="A96" s="1592" t="s">
        <v>703</v>
      </c>
      <c r="B96" s="1592"/>
      <c r="C96" s="1592"/>
      <c r="D96" s="1592"/>
      <c r="E96" s="1592"/>
      <c r="F96" s="1592"/>
      <c r="G96" s="1592"/>
      <c r="H96" s="1592"/>
      <c r="I96" s="1592"/>
      <c r="J96" s="1592"/>
      <c r="K96" s="1592"/>
      <c r="L96" s="1592"/>
      <c r="M96" s="1592"/>
      <c r="N96" s="49"/>
    </row>
    <row r="97" spans="1:15" s="38" customFormat="1" x14ac:dyDescent="0.25">
      <c r="A97" s="226"/>
      <c r="B97" s="229"/>
      <c r="C97" s="190"/>
      <c r="D97" s="190"/>
      <c r="E97" s="226"/>
      <c r="F97" s="226"/>
      <c r="G97" s="226"/>
      <c r="H97" s="226"/>
      <c r="I97" s="226"/>
      <c r="J97" s="226"/>
      <c r="K97" s="226"/>
      <c r="L97" s="226"/>
      <c r="M97" s="226"/>
      <c r="N97" s="49"/>
    </row>
    <row r="98" spans="1:15" s="38" customFormat="1" ht="16.5" customHeight="1" x14ac:dyDescent="0.25">
      <c r="A98" s="1592" t="s">
        <v>245</v>
      </c>
      <c r="B98" s="1592"/>
      <c r="C98" s="1592"/>
      <c r="D98" s="226"/>
      <c r="E98" s="226"/>
      <c r="F98" s="226"/>
      <c r="G98" s="226"/>
      <c r="H98" s="226"/>
      <c r="I98" s="226"/>
      <c r="J98" s="226"/>
      <c r="K98" s="226"/>
      <c r="L98" s="226"/>
      <c r="M98" s="226"/>
      <c r="N98" s="49"/>
    </row>
    <row r="99" spans="1:15" s="38" customFormat="1" x14ac:dyDescent="0.25">
      <c r="A99" s="226"/>
      <c r="B99" s="226"/>
      <c r="C99" s="226"/>
      <c r="D99" s="226"/>
      <c r="E99" s="226"/>
      <c r="F99" s="226"/>
      <c r="G99" s="226"/>
      <c r="H99" s="226"/>
      <c r="I99" s="226"/>
      <c r="J99" s="226"/>
      <c r="K99" s="226"/>
      <c r="L99" s="226"/>
      <c r="M99" s="226"/>
      <c r="N99" s="49"/>
    </row>
    <row r="100" spans="1:15" s="38" customFormat="1" x14ac:dyDescent="0.25">
      <c r="A100" s="226"/>
      <c r="B100" s="1644" t="s">
        <v>1283</v>
      </c>
      <c r="C100" s="1645"/>
      <c r="D100" s="1645"/>
      <c r="E100" s="1645"/>
      <c r="F100" s="1646"/>
      <c r="G100" s="226"/>
      <c r="H100" s="226"/>
      <c r="I100" s="226"/>
      <c r="J100" s="226"/>
      <c r="K100" s="226"/>
      <c r="L100" s="226"/>
      <c r="M100" s="226"/>
      <c r="N100" s="49"/>
    </row>
    <row r="101" spans="1:15" s="38" customFormat="1" x14ac:dyDescent="0.25">
      <c r="A101" s="226"/>
      <c r="B101" s="1620" t="s">
        <v>1289</v>
      </c>
      <c r="C101" s="1621"/>
      <c r="D101" s="1621"/>
      <c r="E101" s="1621"/>
      <c r="F101" s="1622"/>
      <c r="G101" s="226"/>
      <c r="H101" s="226"/>
      <c r="I101" s="226"/>
      <c r="J101" s="226"/>
      <c r="K101" s="226"/>
      <c r="L101" s="226"/>
      <c r="M101" s="226"/>
      <c r="N101" s="49"/>
    </row>
    <row r="102" spans="1:15" s="38" customFormat="1" x14ac:dyDescent="0.25">
      <c r="A102" s="226"/>
      <c r="B102" s="1647" t="s">
        <v>1574</v>
      </c>
      <c r="C102" s="1648"/>
      <c r="D102" s="1648"/>
      <c r="E102" s="1648"/>
      <c r="F102" s="1649"/>
      <c r="G102" s="226"/>
      <c r="H102" s="226"/>
      <c r="I102" s="226"/>
      <c r="J102" s="226"/>
      <c r="K102" s="226"/>
      <c r="L102" s="226"/>
      <c r="M102" s="226"/>
      <c r="N102" s="49"/>
    </row>
    <row r="103" spans="1:15" s="38" customFormat="1" x14ac:dyDescent="0.25">
      <c r="A103" s="226"/>
      <c r="B103" s="226"/>
      <c r="C103" s="226"/>
      <c r="D103" s="226"/>
      <c r="E103" s="226"/>
      <c r="F103" s="226"/>
      <c r="G103" s="226"/>
      <c r="H103" s="226"/>
      <c r="I103" s="226"/>
      <c r="J103" s="226"/>
      <c r="K103" s="226"/>
      <c r="L103" s="226"/>
      <c r="M103" s="226"/>
      <c r="N103" s="49"/>
    </row>
    <row r="104" spans="1:15" s="38" customFormat="1" x14ac:dyDescent="0.25">
      <c r="A104" s="226"/>
      <c r="B104" s="732" t="s">
        <v>1290</v>
      </c>
      <c r="C104" s="726"/>
      <c r="D104" s="726"/>
      <c r="E104" s="726"/>
      <c r="F104" s="726"/>
      <c r="G104" s="726"/>
      <c r="H104" s="726"/>
      <c r="I104" s="726"/>
      <c r="J104" s="726"/>
      <c r="K104" s="727"/>
      <c r="L104" s="226"/>
      <c r="M104" s="226"/>
      <c r="N104" s="49"/>
    </row>
    <row r="105" spans="1:15" s="38" customFormat="1" ht="15" customHeight="1" x14ac:dyDescent="0.25">
      <c r="A105" s="226"/>
      <c r="B105" s="676" t="s">
        <v>1575</v>
      </c>
      <c r="C105" s="728"/>
      <c r="D105" s="728"/>
      <c r="E105" s="728"/>
      <c r="F105" s="728"/>
      <c r="G105" s="728"/>
      <c r="H105" s="728"/>
      <c r="I105" s="728"/>
      <c r="J105" s="728"/>
      <c r="K105" s="729"/>
      <c r="L105" s="226"/>
      <c r="M105" s="226"/>
      <c r="N105" s="49"/>
    </row>
    <row r="106" spans="1:15" s="38" customFormat="1" x14ac:dyDescent="0.25">
      <c r="A106" s="226"/>
      <c r="B106" s="602" t="s">
        <v>1288</v>
      </c>
      <c r="C106" s="730"/>
      <c r="D106" s="730"/>
      <c r="E106" s="730"/>
      <c r="F106" s="730"/>
      <c r="G106" s="730"/>
      <c r="H106" s="730"/>
      <c r="I106" s="730"/>
      <c r="J106" s="730"/>
      <c r="K106" s="731"/>
      <c r="L106" s="226"/>
      <c r="M106" s="226"/>
      <c r="N106" s="49"/>
    </row>
    <row r="107" spans="1:15" s="38" customFormat="1" x14ac:dyDescent="0.25">
      <c r="A107" s="226"/>
      <c r="B107" s="226"/>
      <c r="C107" s="226"/>
      <c r="D107" s="226"/>
      <c r="E107" s="226"/>
      <c r="F107" s="226"/>
      <c r="G107" s="226"/>
      <c r="H107" s="226"/>
      <c r="I107" s="226"/>
      <c r="J107" s="226"/>
      <c r="K107" s="226"/>
      <c r="L107" s="226"/>
      <c r="M107" s="226"/>
      <c r="N107" s="49"/>
    </row>
    <row r="108" spans="1:15" s="38" customFormat="1" x14ac:dyDescent="0.25">
      <c r="A108" s="190"/>
      <c r="B108" s="621" t="s">
        <v>942</v>
      </c>
      <c r="C108" s="190"/>
      <c r="D108" s="190"/>
      <c r="E108" s="190"/>
      <c r="F108" s="226"/>
      <c r="G108" s="226"/>
      <c r="H108" s="226"/>
      <c r="I108" s="226"/>
      <c r="J108" s="226"/>
      <c r="K108" s="226"/>
      <c r="L108" s="226"/>
      <c r="M108" s="226"/>
      <c r="N108" s="49"/>
    </row>
    <row r="109" spans="1:15" s="38" customFormat="1" ht="9" customHeight="1" x14ac:dyDescent="0.25">
      <c r="A109" s="226"/>
      <c r="B109" s="229"/>
      <c r="C109" s="190"/>
      <c r="D109" s="190"/>
      <c r="E109" s="226"/>
      <c r="F109" s="226"/>
      <c r="G109" s="226"/>
      <c r="H109" s="226"/>
      <c r="I109" s="226"/>
      <c r="J109" s="226"/>
      <c r="K109" s="226"/>
      <c r="L109" s="226"/>
      <c r="M109" s="226"/>
      <c r="N109" s="49"/>
    </row>
    <row r="110" spans="1:15" s="38" customFormat="1" ht="18" customHeight="1" x14ac:dyDescent="0.25">
      <c r="A110" s="226"/>
      <c r="B110" s="511" t="s">
        <v>938</v>
      </c>
      <c r="C110" s="1599" t="s">
        <v>943</v>
      </c>
      <c r="D110" s="1599"/>
      <c r="E110" s="1599" t="s">
        <v>30</v>
      </c>
      <c r="F110" s="1666"/>
      <c r="G110" s="226"/>
      <c r="H110" s="226"/>
      <c r="I110" s="226"/>
      <c r="J110" s="226"/>
      <c r="K110" s="226"/>
      <c r="L110" s="226"/>
      <c r="M110" s="226"/>
      <c r="N110" s="49"/>
      <c r="O110" s="526" t="s">
        <v>940</v>
      </c>
    </row>
    <row r="111" spans="1:15" s="38" customFormat="1" ht="16.5" customHeight="1" x14ac:dyDescent="0.25">
      <c r="A111" s="226"/>
      <c r="B111" s="515"/>
      <c r="C111" s="1637" t="s">
        <v>124</v>
      </c>
      <c r="D111" s="1637"/>
      <c r="E111" s="1637"/>
      <c r="F111" s="1637"/>
      <c r="G111" s="226"/>
      <c r="H111" s="226"/>
      <c r="I111" s="226"/>
      <c r="J111" s="226"/>
      <c r="K111" s="226"/>
      <c r="L111" s="226"/>
      <c r="M111" s="226"/>
      <c r="N111" s="49" t="str">
        <f>IF(AND(C111&lt;&gt;"Select",C111&lt;&gt;"",C111&lt;&gt;"other type of glazing"),"Yes","No")</f>
        <v>No</v>
      </c>
      <c r="O111" s="526" t="s">
        <v>941</v>
      </c>
    </row>
    <row r="112" spans="1:15" s="38" customFormat="1" ht="16.5" customHeight="1" x14ac:dyDescent="0.25">
      <c r="A112" s="226"/>
      <c r="B112" s="514"/>
      <c r="C112" s="1637" t="s">
        <v>124</v>
      </c>
      <c r="D112" s="1637"/>
      <c r="E112" s="1637"/>
      <c r="F112" s="1637"/>
      <c r="G112" s="226"/>
      <c r="H112" s="226"/>
      <c r="I112" s="226"/>
      <c r="J112" s="226"/>
      <c r="K112" s="226"/>
      <c r="L112" s="226"/>
      <c r="M112" s="226"/>
      <c r="N112" s="49" t="str">
        <f>IF(AND(C112&lt;&gt;"Select",C112&lt;&gt;"",C112&lt;&gt;"other type of glazing"),"Yes","No")</f>
        <v>No</v>
      </c>
      <c r="O112" s="526" t="s">
        <v>937</v>
      </c>
    </row>
    <row r="113" spans="1:14" s="38" customFormat="1" ht="16.5" customHeight="1" x14ac:dyDescent="0.25">
      <c r="A113" s="226"/>
      <c r="B113" s="514"/>
      <c r="C113" s="1637" t="s">
        <v>124</v>
      </c>
      <c r="D113" s="1637"/>
      <c r="E113" s="1637"/>
      <c r="F113" s="1637"/>
      <c r="G113" s="226"/>
      <c r="H113" s="226"/>
      <c r="I113" s="226"/>
      <c r="J113" s="226"/>
      <c r="K113" s="226"/>
      <c r="L113" s="226"/>
      <c r="M113" s="226"/>
      <c r="N113" s="49" t="str">
        <f>IF(AND(C113&lt;&gt;"Select",C113&lt;&gt;"",C113&lt;&gt;"other type of glazing"),"Yes","No")</f>
        <v>No</v>
      </c>
    </row>
    <row r="114" spans="1:14" s="38" customFormat="1" ht="16.5" customHeight="1" x14ac:dyDescent="0.25">
      <c r="A114" s="226"/>
      <c r="B114" s="514"/>
      <c r="C114" s="1637" t="s">
        <v>124</v>
      </c>
      <c r="D114" s="1637"/>
      <c r="E114" s="1637"/>
      <c r="F114" s="1637"/>
      <c r="G114" s="226"/>
      <c r="H114" s="226"/>
      <c r="I114" s="226"/>
      <c r="J114" s="226"/>
      <c r="K114" s="226"/>
      <c r="L114" s="226"/>
      <c r="M114" s="226"/>
      <c r="N114" s="49" t="str">
        <f>IF(AND(C114&lt;&gt;"Select",C114&lt;&gt;"",C114&lt;&gt;"other type of glazing"),"Yes","No")</f>
        <v>No</v>
      </c>
    </row>
    <row r="115" spans="1:14" s="38" customFormat="1" ht="16.5" customHeight="1" x14ac:dyDescent="0.25">
      <c r="A115" s="226"/>
      <c r="B115" s="226"/>
      <c r="C115" s="226"/>
      <c r="D115" s="226"/>
      <c r="E115" s="226"/>
      <c r="F115" s="226"/>
      <c r="G115" s="226"/>
      <c r="H115" s="226"/>
      <c r="I115" s="226"/>
      <c r="J115" s="226"/>
      <c r="K115" s="226"/>
      <c r="L115" s="226"/>
      <c r="M115" s="226"/>
      <c r="N115" s="49"/>
    </row>
    <row r="116" spans="1:14" s="38" customFormat="1" ht="18" customHeight="1" x14ac:dyDescent="0.25">
      <c r="A116" s="226"/>
      <c r="B116" s="1623" t="s">
        <v>939</v>
      </c>
      <c r="C116" s="1623"/>
      <c r="D116" s="208" t="str">
        <f>IF(COUNTIF(N111:N114,"Yes")&gt;0, IF(COUNTIF(D111:E114,"other type of glazing")&gt;0,"No","Yes"),"No")</f>
        <v>No</v>
      </c>
      <c r="E116" s="226"/>
      <c r="F116" s="226"/>
      <c r="G116" s="226"/>
      <c r="H116" s="226"/>
      <c r="I116" s="226"/>
      <c r="J116" s="226"/>
      <c r="K116" s="226"/>
      <c r="L116" s="226"/>
      <c r="M116" s="226"/>
      <c r="N116" s="49"/>
    </row>
    <row r="117" spans="1:14" s="38" customFormat="1" ht="20.25" customHeight="1" x14ac:dyDescent="0.25">
      <c r="A117" s="226"/>
      <c r="B117" s="226"/>
      <c r="C117" s="226"/>
      <c r="D117" s="226"/>
      <c r="E117" s="226"/>
      <c r="F117" s="226"/>
      <c r="G117" s="226"/>
      <c r="H117" s="226"/>
      <c r="I117" s="226"/>
      <c r="J117" s="226"/>
      <c r="K117" s="226"/>
      <c r="L117" s="226"/>
      <c r="M117" s="226"/>
      <c r="N117" s="49"/>
    </row>
    <row r="118" spans="1:14" s="38" customFormat="1" ht="16.5" customHeight="1" x14ac:dyDescent="0.25">
      <c r="A118" s="1592" t="s">
        <v>186</v>
      </c>
      <c r="B118" s="1592"/>
      <c r="C118" s="1592"/>
      <c r="D118" s="226"/>
      <c r="E118" s="226"/>
      <c r="F118" s="226"/>
      <c r="G118" s="226"/>
      <c r="H118" s="226"/>
      <c r="I118" s="226"/>
      <c r="J118" s="226"/>
      <c r="K118" s="226"/>
      <c r="L118" s="226"/>
      <c r="M118" s="226"/>
      <c r="N118" s="49"/>
    </row>
    <row r="119" spans="1:14" s="38" customFormat="1" ht="16.5" customHeight="1" x14ac:dyDescent="0.25">
      <c r="A119" s="226"/>
      <c r="B119" s="226"/>
      <c r="C119" s="226"/>
      <c r="D119" s="226"/>
      <c r="E119" s="226"/>
      <c r="F119" s="226"/>
      <c r="G119" s="226"/>
      <c r="H119" s="226"/>
      <c r="I119" s="226"/>
      <c r="J119" s="226"/>
      <c r="K119" s="226"/>
      <c r="L119" s="226"/>
      <c r="M119" s="226"/>
      <c r="N119" s="49"/>
    </row>
    <row r="120" spans="1:14" s="38" customFormat="1" ht="18" customHeight="1" x14ac:dyDescent="0.25">
      <c r="A120" s="190"/>
      <c r="B120" s="1582" t="s">
        <v>1739</v>
      </c>
      <c r="C120" s="1583"/>
      <c r="D120" s="1583"/>
      <c r="E120" s="1583"/>
      <c r="F120" s="1583"/>
      <c r="G120" s="934" t="s">
        <v>1737</v>
      </c>
      <c r="H120" s="1589" t="s">
        <v>1738</v>
      </c>
      <c r="I120" s="1590"/>
      <c r="J120" s="190"/>
      <c r="K120" s="190"/>
      <c r="L120" s="226"/>
      <c r="M120" s="226"/>
      <c r="N120" s="49"/>
    </row>
    <row r="121" spans="1:14" s="38" customFormat="1" ht="24" customHeight="1" x14ac:dyDescent="0.25">
      <c r="A121" s="190"/>
      <c r="B121" s="1576" t="s">
        <v>1113</v>
      </c>
      <c r="C121" s="1577"/>
      <c r="D121" s="1577"/>
      <c r="E121" s="1577"/>
      <c r="F121" s="1578"/>
      <c r="G121" s="471" t="s">
        <v>124</v>
      </c>
      <c r="H121" s="1587"/>
      <c r="I121" s="1588"/>
      <c r="J121" s="190"/>
      <c r="K121" s="190"/>
      <c r="L121" s="226"/>
      <c r="M121" s="226"/>
      <c r="N121" s="49"/>
    </row>
    <row r="122" spans="1:14" s="38" customFormat="1" ht="24" customHeight="1" x14ac:dyDescent="0.25">
      <c r="A122" s="190"/>
      <c r="B122" s="1576" t="s">
        <v>1114</v>
      </c>
      <c r="C122" s="1577"/>
      <c r="D122" s="1577"/>
      <c r="E122" s="1577"/>
      <c r="F122" s="1578"/>
      <c r="G122" s="471" t="s">
        <v>124</v>
      </c>
      <c r="H122" s="1587"/>
      <c r="I122" s="1588"/>
      <c r="J122" s="190"/>
      <c r="K122" s="190"/>
      <c r="L122" s="226"/>
      <c r="M122" s="226"/>
      <c r="N122" s="49"/>
    </row>
    <row r="123" spans="1:14" s="38" customFormat="1" ht="18.75" customHeight="1" x14ac:dyDescent="0.25">
      <c r="A123" s="190"/>
      <c r="B123" s="190"/>
      <c r="C123" s="190"/>
      <c r="D123" s="190"/>
      <c r="E123" s="190"/>
      <c r="F123" s="190"/>
      <c r="G123" s="190"/>
      <c r="H123" s="190"/>
      <c r="I123" s="190"/>
      <c r="J123" s="190"/>
      <c r="K123" s="190"/>
      <c r="L123" s="226"/>
      <c r="M123" s="226"/>
      <c r="N123" s="49"/>
    </row>
    <row r="124" spans="1:14" s="38" customFormat="1" ht="16.5" customHeight="1" x14ac:dyDescent="0.25">
      <c r="A124" s="1592" t="s">
        <v>22</v>
      </c>
      <c r="B124" s="1592"/>
      <c r="C124" s="1592"/>
      <c r="D124" s="190"/>
      <c r="E124" s="190"/>
      <c r="F124" s="190"/>
      <c r="G124" s="190"/>
      <c r="H124" s="190"/>
      <c r="I124" s="190"/>
      <c r="J124" s="190"/>
      <c r="K124" s="190"/>
      <c r="L124" s="226"/>
      <c r="M124" s="226"/>
      <c r="N124" s="49"/>
    </row>
    <row r="125" spans="1:14" s="38" customFormat="1" ht="16.5" customHeight="1" x14ac:dyDescent="0.25">
      <c r="A125" s="190"/>
      <c r="B125" s="190"/>
      <c r="C125" s="190"/>
      <c r="D125" s="190"/>
      <c r="E125" s="190"/>
      <c r="F125" s="190"/>
      <c r="G125" s="190"/>
      <c r="H125" s="190"/>
      <c r="I125" s="190"/>
      <c r="J125" s="190"/>
      <c r="K125" s="190"/>
      <c r="L125" s="226"/>
      <c r="M125" s="226"/>
      <c r="N125" s="49"/>
    </row>
    <row r="126" spans="1:14" s="38" customFormat="1" ht="18" customHeight="1" x14ac:dyDescent="0.25">
      <c r="A126" s="190"/>
      <c r="B126" s="171" t="s">
        <v>53</v>
      </c>
      <c r="C126" s="1328" t="str">
        <f>IF($D$11="Prescriptive Path",IF(D116="Yes",1,0),"/")</f>
        <v>/</v>
      </c>
      <c r="D126" s="190"/>
      <c r="E126" s="190"/>
      <c r="F126" s="190"/>
      <c r="G126" s="190"/>
      <c r="H126" s="190"/>
      <c r="I126" s="190"/>
      <c r="J126" s="190"/>
      <c r="K126" s="190"/>
      <c r="L126" s="226"/>
      <c r="M126" s="226"/>
      <c r="N126" s="49"/>
    </row>
    <row r="127" spans="1:14" s="38" customFormat="1" ht="18" customHeight="1" x14ac:dyDescent="0.25">
      <c r="A127" s="190"/>
      <c r="B127" s="171" t="s">
        <v>492</v>
      </c>
      <c r="C127" s="1328" t="str">
        <f>IF($D$11="Prescriptive Path",IF(AND(G121="Submitted",G122="Submitted",C126&gt;0),"Yes","No"),"/")</f>
        <v>/</v>
      </c>
      <c r="D127" s="190"/>
      <c r="E127" s="190"/>
      <c r="F127" s="190"/>
      <c r="G127" s="190"/>
      <c r="H127" s="190"/>
      <c r="I127" s="190"/>
      <c r="J127" s="190"/>
      <c r="K127" s="190"/>
      <c r="L127" s="226"/>
      <c r="M127" s="226"/>
      <c r="N127" s="49"/>
    </row>
    <row r="128" spans="1:14" s="38" customFormat="1" ht="19.5" customHeight="1" x14ac:dyDescent="0.25">
      <c r="A128" s="190"/>
      <c r="B128" s="190"/>
      <c r="C128" s="190"/>
      <c r="D128" s="190"/>
      <c r="E128" s="190"/>
      <c r="F128" s="190"/>
      <c r="G128" s="190"/>
      <c r="H128" s="190"/>
      <c r="I128" s="190"/>
      <c r="J128" s="190"/>
      <c r="K128" s="190"/>
      <c r="L128" s="226"/>
      <c r="M128" s="226"/>
      <c r="N128" s="49"/>
    </row>
    <row r="129" spans="1:14" s="38" customFormat="1" ht="16.5" customHeight="1" x14ac:dyDescent="0.25">
      <c r="A129" s="1592" t="s">
        <v>848</v>
      </c>
      <c r="B129" s="1592"/>
      <c r="C129" s="1592"/>
      <c r="D129" s="1592"/>
      <c r="E129" s="1592"/>
      <c r="F129" s="1592"/>
      <c r="G129" s="1592"/>
      <c r="H129" s="1592"/>
      <c r="I129" s="1592"/>
      <c r="J129" s="1592"/>
      <c r="K129" s="1592"/>
      <c r="L129" s="1592"/>
      <c r="M129" s="1592"/>
      <c r="N129" s="49"/>
    </row>
    <row r="130" spans="1:14" s="38" customFormat="1" ht="16.5" customHeight="1" x14ac:dyDescent="0.25">
      <c r="A130" s="226"/>
      <c r="B130" s="226"/>
      <c r="C130" s="226"/>
      <c r="D130" s="226"/>
      <c r="E130" s="226"/>
      <c r="F130" s="226"/>
      <c r="G130" s="226"/>
      <c r="H130" s="226"/>
      <c r="I130" s="226"/>
      <c r="J130" s="226"/>
      <c r="K130" s="226"/>
      <c r="L130" s="226"/>
      <c r="M130" s="226"/>
      <c r="N130" s="49"/>
    </row>
    <row r="131" spans="1:14" s="38" customFormat="1" ht="16.5" customHeight="1" x14ac:dyDescent="0.25">
      <c r="A131" s="1592" t="s">
        <v>245</v>
      </c>
      <c r="B131" s="1592"/>
      <c r="C131" s="1592"/>
      <c r="D131" s="226"/>
      <c r="E131" s="226"/>
      <c r="F131" s="226"/>
      <c r="G131" s="226"/>
      <c r="H131" s="226"/>
      <c r="I131" s="226"/>
      <c r="J131" s="226"/>
      <c r="K131" s="226"/>
      <c r="L131" s="226"/>
      <c r="M131" s="226"/>
      <c r="N131" s="49"/>
    </row>
    <row r="132" spans="1:14" s="38" customFormat="1" ht="16.5" customHeight="1" x14ac:dyDescent="0.25">
      <c r="A132" s="226"/>
      <c r="B132" s="226"/>
      <c r="C132" s="226"/>
      <c r="D132" s="226"/>
      <c r="E132" s="226"/>
      <c r="F132" s="226"/>
      <c r="G132" s="226"/>
      <c r="H132" s="226"/>
      <c r="I132" s="226"/>
      <c r="J132" s="226"/>
      <c r="K132" s="226"/>
      <c r="L132" s="226"/>
      <c r="M132" s="226"/>
      <c r="N132" s="49"/>
    </row>
    <row r="133" spans="1:14" s="38" customFormat="1" ht="16.5" customHeight="1" x14ac:dyDescent="0.25">
      <c r="A133" s="226"/>
      <c r="B133" s="1641" t="s">
        <v>1292</v>
      </c>
      <c r="C133" s="1642"/>
      <c r="D133" s="1642"/>
      <c r="E133" s="1642"/>
      <c r="F133" s="1642"/>
      <c r="G133" s="1643"/>
      <c r="H133" s="226"/>
      <c r="I133" s="226"/>
      <c r="J133" s="226"/>
      <c r="K133" s="226"/>
      <c r="L133" s="226"/>
      <c r="M133" s="226"/>
      <c r="N133" s="49"/>
    </row>
    <row r="134" spans="1:14" s="38" customFormat="1" ht="16.5" customHeight="1" x14ac:dyDescent="0.25">
      <c r="A134" s="226"/>
      <c r="B134" s="1631" t="s">
        <v>1291</v>
      </c>
      <c r="C134" s="1632"/>
      <c r="D134" s="1632"/>
      <c r="E134" s="1632"/>
      <c r="F134" s="1632"/>
      <c r="G134" s="1633"/>
      <c r="H134" s="226"/>
      <c r="I134" s="226"/>
      <c r="J134" s="226"/>
      <c r="K134" s="226"/>
      <c r="L134" s="226"/>
      <c r="M134" s="226"/>
      <c r="N134" s="49"/>
    </row>
    <row r="135" spans="1:14" s="38" customFormat="1" ht="16.5" customHeight="1" x14ac:dyDescent="0.25">
      <c r="A135" s="226"/>
      <c r="B135" s="1625" t="s">
        <v>1293</v>
      </c>
      <c r="C135" s="1626"/>
      <c r="D135" s="1626"/>
      <c r="E135" s="1626"/>
      <c r="F135" s="1626"/>
      <c r="G135" s="1627"/>
      <c r="H135" s="226"/>
      <c r="I135" s="226"/>
      <c r="J135" s="226"/>
      <c r="K135" s="226"/>
      <c r="L135" s="226"/>
      <c r="M135" s="226"/>
      <c r="N135" s="49"/>
    </row>
    <row r="136" spans="1:14" s="38" customFormat="1" ht="16.5" customHeight="1" x14ac:dyDescent="0.25">
      <c r="A136" s="226"/>
      <c r="B136" s="1625" t="s">
        <v>1294</v>
      </c>
      <c r="C136" s="1626"/>
      <c r="D136" s="1626"/>
      <c r="E136" s="1626"/>
      <c r="F136" s="1626"/>
      <c r="G136" s="1627"/>
      <c r="H136" s="226"/>
      <c r="I136" s="226"/>
      <c r="J136" s="226"/>
      <c r="K136" s="226"/>
      <c r="L136" s="226"/>
      <c r="M136" s="226"/>
      <c r="N136" s="49"/>
    </row>
    <row r="137" spans="1:14" s="38" customFormat="1" ht="16.5" customHeight="1" x14ac:dyDescent="0.25">
      <c r="A137" s="226"/>
      <c r="B137" s="1625" t="s">
        <v>1295</v>
      </c>
      <c r="C137" s="1626"/>
      <c r="D137" s="1626"/>
      <c r="E137" s="1626"/>
      <c r="F137" s="1626"/>
      <c r="G137" s="1627"/>
      <c r="H137" s="226"/>
      <c r="I137" s="226"/>
      <c r="J137" s="226"/>
      <c r="K137" s="226"/>
      <c r="L137" s="226"/>
      <c r="M137" s="226"/>
      <c r="N137" s="49"/>
    </row>
    <row r="138" spans="1:14" s="38" customFormat="1" ht="16.5" customHeight="1" x14ac:dyDescent="0.25">
      <c r="A138" s="226"/>
      <c r="B138" s="1628" t="s">
        <v>1296</v>
      </c>
      <c r="C138" s="1629"/>
      <c r="D138" s="1629"/>
      <c r="E138" s="1629"/>
      <c r="F138" s="1629"/>
      <c r="G138" s="1630"/>
      <c r="H138" s="226"/>
      <c r="I138" s="226"/>
      <c r="J138" s="226"/>
      <c r="K138" s="226"/>
      <c r="L138" s="226"/>
      <c r="M138" s="226"/>
      <c r="N138" s="49"/>
    </row>
    <row r="139" spans="1:14" s="38" customFormat="1" ht="16.5" customHeight="1" x14ac:dyDescent="0.25">
      <c r="A139" s="226"/>
      <c r="B139" s="1631" t="s">
        <v>1300</v>
      </c>
      <c r="C139" s="1632"/>
      <c r="D139" s="1632"/>
      <c r="E139" s="1632"/>
      <c r="F139" s="1632"/>
      <c r="G139" s="1633"/>
      <c r="H139" s="226"/>
      <c r="I139" s="226"/>
      <c r="J139" s="226"/>
      <c r="K139" s="226"/>
      <c r="L139" s="226"/>
      <c r="M139" s="226"/>
      <c r="N139" s="49"/>
    </row>
    <row r="140" spans="1:14" s="38" customFormat="1" ht="16.5" customHeight="1" x14ac:dyDescent="0.25">
      <c r="A140" s="226"/>
      <c r="B140" s="1625" t="s">
        <v>1297</v>
      </c>
      <c r="C140" s="1626"/>
      <c r="D140" s="1626"/>
      <c r="E140" s="1626"/>
      <c r="F140" s="1626"/>
      <c r="G140" s="1627"/>
      <c r="H140" s="226"/>
      <c r="I140" s="226"/>
      <c r="J140" s="226"/>
      <c r="K140" s="226"/>
      <c r="L140" s="226"/>
      <c r="M140" s="226"/>
      <c r="N140" s="49"/>
    </row>
    <row r="141" spans="1:14" s="38" customFormat="1" ht="16.5" customHeight="1" x14ac:dyDescent="0.25">
      <c r="A141" s="226"/>
      <c r="B141" s="1625" t="s">
        <v>1298</v>
      </c>
      <c r="C141" s="1626"/>
      <c r="D141" s="1626"/>
      <c r="E141" s="1626"/>
      <c r="F141" s="1626"/>
      <c r="G141" s="1627"/>
      <c r="H141" s="226"/>
      <c r="I141" s="226"/>
      <c r="J141" s="226"/>
      <c r="K141" s="226"/>
      <c r="L141" s="226"/>
      <c r="M141" s="226"/>
      <c r="N141" s="49"/>
    </row>
    <row r="142" spans="1:14" s="38" customFormat="1" ht="16.5" customHeight="1" x14ac:dyDescent="0.25">
      <c r="A142" s="226"/>
      <c r="B142" s="1634" t="s">
        <v>1299</v>
      </c>
      <c r="C142" s="1635"/>
      <c r="D142" s="1635"/>
      <c r="E142" s="1635"/>
      <c r="F142" s="1635"/>
      <c r="G142" s="1636"/>
      <c r="H142" s="226"/>
      <c r="I142" s="226"/>
      <c r="J142" s="226"/>
      <c r="K142" s="226"/>
      <c r="L142" s="226"/>
      <c r="M142" s="226"/>
      <c r="N142" s="49"/>
    </row>
    <row r="143" spans="1:14" s="38" customFormat="1" ht="16.5" customHeight="1" x14ac:dyDescent="0.25">
      <c r="A143" s="226"/>
      <c r="B143" s="226"/>
      <c r="C143" s="226"/>
      <c r="D143" s="226"/>
      <c r="E143" s="226"/>
      <c r="F143" s="226"/>
      <c r="G143" s="226"/>
      <c r="H143" s="226"/>
      <c r="I143" s="226"/>
      <c r="J143" s="226"/>
      <c r="K143" s="226"/>
      <c r="L143" s="226"/>
      <c r="M143" s="226"/>
      <c r="N143" s="49"/>
    </row>
    <row r="144" spans="1:14" s="38" customFormat="1" ht="16.5" customHeight="1" x14ac:dyDescent="0.25">
      <c r="A144" s="226"/>
      <c r="B144" s="620" t="s">
        <v>1301</v>
      </c>
      <c r="C144" s="226"/>
      <c r="D144" s="226"/>
      <c r="E144" s="226"/>
      <c r="F144" s="226"/>
      <c r="G144" s="226"/>
      <c r="H144" s="226"/>
      <c r="I144" s="226"/>
      <c r="J144" s="226"/>
      <c r="K144" s="226"/>
      <c r="L144" s="226"/>
      <c r="M144" s="226"/>
      <c r="N144" s="49"/>
    </row>
    <row r="145" spans="1:15" s="38" customFormat="1" ht="16.5" customHeight="1" x14ac:dyDescent="0.25">
      <c r="A145" s="226"/>
      <c r="B145" s="226"/>
      <c r="C145" s="226"/>
      <c r="D145" s="226"/>
      <c r="E145" s="226"/>
      <c r="F145" s="226"/>
      <c r="G145" s="226"/>
      <c r="H145" s="226"/>
      <c r="I145" s="226"/>
      <c r="J145" s="226"/>
      <c r="K145" s="226"/>
      <c r="L145" s="226"/>
      <c r="M145" s="226"/>
      <c r="N145" s="49"/>
    </row>
    <row r="146" spans="1:15" s="38" customFormat="1" ht="16.5" customHeight="1" x14ac:dyDescent="0.25">
      <c r="A146" s="226"/>
      <c r="B146" s="621" t="s">
        <v>1302</v>
      </c>
      <c r="C146" s="226"/>
      <c r="D146" s="226"/>
      <c r="E146" s="226"/>
      <c r="F146" s="226"/>
      <c r="G146" s="226"/>
      <c r="H146" s="226"/>
      <c r="I146" s="226"/>
      <c r="J146" s="226"/>
      <c r="K146" s="226"/>
      <c r="L146" s="226"/>
      <c r="M146" s="226"/>
      <c r="N146" s="49"/>
    </row>
    <row r="147" spans="1:15" s="38" customFormat="1" ht="9" customHeight="1" x14ac:dyDescent="0.25">
      <c r="A147" s="226"/>
      <c r="B147" s="621"/>
      <c r="C147" s="226"/>
      <c r="D147" s="226"/>
      <c r="E147" s="226"/>
      <c r="F147" s="226"/>
      <c r="G147" s="226"/>
      <c r="H147" s="226"/>
      <c r="I147" s="226"/>
      <c r="J147" s="226"/>
      <c r="K147" s="226"/>
      <c r="L147" s="226"/>
      <c r="M147" s="226"/>
      <c r="N147" s="49"/>
    </row>
    <row r="148" spans="1:15" s="38" customFormat="1" ht="16.5" customHeight="1" x14ac:dyDescent="0.25">
      <c r="A148" s="226"/>
      <c r="B148" s="228" t="s">
        <v>849</v>
      </c>
      <c r="C148" s="226"/>
      <c r="D148" s="226"/>
      <c r="E148" s="226"/>
      <c r="F148" s="226"/>
      <c r="G148" s="228" t="s">
        <v>850</v>
      </c>
      <c r="H148" s="226"/>
      <c r="I148" s="226"/>
      <c r="J148" s="226"/>
      <c r="K148" s="226"/>
      <c r="L148" s="226"/>
      <c r="M148" s="226"/>
      <c r="N148" s="49"/>
    </row>
    <row r="149" spans="1:15" s="38" customFormat="1" ht="18" customHeight="1" x14ac:dyDescent="0.25">
      <c r="A149" s="226"/>
      <c r="B149" s="371" t="s">
        <v>1591</v>
      </c>
      <c r="C149" s="802" t="s">
        <v>40</v>
      </c>
      <c r="D149" s="802" t="s">
        <v>1593</v>
      </c>
      <c r="E149" s="806" t="s">
        <v>43</v>
      </c>
      <c r="F149" s="226"/>
      <c r="G149" s="371" t="s">
        <v>1592</v>
      </c>
      <c r="H149" s="802" t="s">
        <v>40</v>
      </c>
      <c r="I149" s="1599" t="s">
        <v>706</v>
      </c>
      <c r="J149" s="1599"/>
      <c r="K149" s="1599" t="s">
        <v>43</v>
      </c>
      <c r="L149" s="1666"/>
      <c r="M149" s="226"/>
      <c r="N149" s="49"/>
    </row>
    <row r="150" spans="1:15" s="38" customFormat="1" ht="16.5" customHeight="1" x14ac:dyDescent="0.25">
      <c r="A150" s="226"/>
      <c r="B150" s="894"/>
      <c r="C150" s="515"/>
      <c r="D150" s="515" t="s">
        <v>124</v>
      </c>
      <c r="E150" s="370">
        <f>IF(AND(D150&lt;&gt;"No",D150&lt;&gt;"Select"),C150,0)</f>
        <v>0</v>
      </c>
      <c r="F150" s="226"/>
      <c r="G150" s="515"/>
      <c r="H150" s="514"/>
      <c r="I150" s="1637" t="s">
        <v>124</v>
      </c>
      <c r="J150" s="1637"/>
      <c r="K150" s="1663">
        <f>IF(AND(I150&lt;&gt;"No",I150&lt;&gt;"Select"),H150,0)</f>
        <v>0</v>
      </c>
      <c r="L150" s="1663"/>
      <c r="M150" s="226"/>
      <c r="N150" s="49"/>
      <c r="O150" s="38" t="str">
        <f>IF(D150="solar reflectivity &gt; 0.7","Yes",IF(I150="solar reflectivity &gt; 0.4","Yes","No"))</f>
        <v>No</v>
      </c>
    </row>
    <row r="151" spans="1:15" s="38" customFormat="1" ht="16.5" customHeight="1" x14ac:dyDescent="0.25">
      <c r="A151" s="226"/>
      <c r="B151" s="894"/>
      <c r="C151" s="514"/>
      <c r="D151" s="894" t="s">
        <v>124</v>
      </c>
      <c r="E151" s="267">
        <f>IF(AND(D151&lt;&gt;"No",D151&lt;&gt;"Select"),C151,0)</f>
        <v>0</v>
      </c>
      <c r="F151" s="226"/>
      <c r="G151" s="894"/>
      <c r="H151" s="514"/>
      <c r="I151" s="1637" t="s">
        <v>124</v>
      </c>
      <c r="J151" s="1637"/>
      <c r="K151" s="1663">
        <f>IF(AND(I151&lt;&gt;"No",I151&lt;&gt;"Select"),H151,0)</f>
        <v>0</v>
      </c>
      <c r="L151" s="1663"/>
      <c r="M151" s="226"/>
      <c r="N151" s="49"/>
      <c r="O151" s="38" t="str">
        <f>IF(D151="solar reflectivity &gt; 0.7","Yes",IF(I151="solar reflectivity &gt; 0.4","Yes","No"))</f>
        <v>No</v>
      </c>
    </row>
    <row r="152" spans="1:15" s="38" customFormat="1" ht="16.5" customHeight="1" x14ac:dyDescent="0.25">
      <c r="A152" s="226"/>
      <c r="B152" s="894"/>
      <c r="C152" s="514"/>
      <c r="D152" s="894" t="s">
        <v>124</v>
      </c>
      <c r="E152" s="267">
        <f>IF(AND(D152&lt;&gt;"No",D152&lt;&gt;"Select"),C152,0)</f>
        <v>0</v>
      </c>
      <c r="F152" s="226"/>
      <c r="G152" s="894"/>
      <c r="H152" s="514"/>
      <c r="I152" s="1637" t="s">
        <v>124</v>
      </c>
      <c r="J152" s="1637"/>
      <c r="K152" s="1663">
        <f>IF(AND(I152&lt;&gt;"No",I152&lt;&gt;"Select"),H152,0)</f>
        <v>0</v>
      </c>
      <c r="L152" s="1663"/>
      <c r="M152" s="226"/>
      <c r="N152" s="49"/>
      <c r="O152" s="38" t="str">
        <f>IF(D152="solar reflectivity &gt; 0.7","Yes",IF(I152="solar reflectivity &gt; 0.4","Yes","No"))</f>
        <v>No</v>
      </c>
    </row>
    <row r="153" spans="1:15" s="38" customFormat="1" ht="16.5" customHeight="1" x14ac:dyDescent="0.25">
      <c r="A153" s="226"/>
      <c r="B153" s="894"/>
      <c r="C153" s="514"/>
      <c r="D153" s="894" t="s">
        <v>124</v>
      </c>
      <c r="E153" s="267">
        <f>IF(AND(D153&lt;&gt;"No",D153&lt;&gt;"Select"),C153,0)</f>
        <v>0</v>
      </c>
      <c r="F153" s="226"/>
      <c r="G153" s="894"/>
      <c r="H153" s="514"/>
      <c r="I153" s="1637" t="s">
        <v>124</v>
      </c>
      <c r="J153" s="1637"/>
      <c r="K153" s="1663">
        <f>IF(AND(I153&lt;&gt;"No",I153&lt;&gt;"Select"),H153,0)</f>
        <v>0</v>
      </c>
      <c r="L153" s="1663"/>
      <c r="M153" s="226"/>
      <c r="N153" s="49"/>
      <c r="O153" s="38" t="str">
        <f>IF(D153="solar reflectivity &gt; 0.7","Yes",IF(I153="solar reflectivity &gt; 0.4","Yes","No"))</f>
        <v>No</v>
      </c>
    </row>
    <row r="154" spans="1:15" s="38" customFormat="1" ht="16.5" customHeight="1" x14ac:dyDescent="0.25">
      <c r="A154" s="226"/>
      <c r="B154" s="894"/>
      <c r="C154" s="514"/>
      <c r="D154" s="894" t="s">
        <v>124</v>
      </c>
      <c r="E154" s="267">
        <f>IF(AND(D154&lt;&gt;"No",D154&lt;&gt;"Select"),C154,0)</f>
        <v>0</v>
      </c>
      <c r="F154" s="226"/>
      <c r="G154" s="894"/>
      <c r="H154" s="514"/>
      <c r="I154" s="1637" t="s">
        <v>124</v>
      </c>
      <c r="J154" s="1637"/>
      <c r="K154" s="1663">
        <f>IF(AND(I154&lt;&gt;"No",I154&lt;&gt;"Select"),H154,0)</f>
        <v>0</v>
      </c>
      <c r="L154" s="1663"/>
      <c r="M154" s="226"/>
      <c r="N154" s="49"/>
      <c r="O154" s="38" t="str">
        <f>IF(D154="solar reflectivity &gt; 0.7","Yes",IF(I154="solar reflectivity &gt; 0.4","Yes","No"))</f>
        <v>No</v>
      </c>
    </row>
    <row r="155" spans="1:15" s="38" customFormat="1" ht="16.5" customHeight="1" x14ac:dyDescent="0.25">
      <c r="A155" s="226"/>
      <c r="B155" s="226"/>
      <c r="C155" s="376">
        <f>SUM(C150:C154)</f>
        <v>0</v>
      </c>
      <c r="D155" s="226"/>
      <c r="E155" s="376">
        <f>SUM(E150:E154)</f>
        <v>0</v>
      </c>
      <c r="F155" s="226"/>
      <c r="G155" s="226"/>
      <c r="H155" s="376">
        <f>SUM(H150:H154)</f>
        <v>0</v>
      </c>
      <c r="I155" s="226"/>
      <c r="J155" s="226"/>
      <c r="K155" s="1664">
        <f>SUM(K150:L154)</f>
        <v>0</v>
      </c>
      <c r="L155" s="1665"/>
      <c r="M155" s="226"/>
      <c r="N155" s="49"/>
    </row>
    <row r="156" spans="1:15" s="38" customFormat="1" ht="16.5" customHeight="1" x14ac:dyDescent="0.25">
      <c r="A156" s="226"/>
      <c r="B156" s="226"/>
      <c r="C156" s="226"/>
      <c r="D156" s="226"/>
      <c r="E156" s="226"/>
      <c r="F156" s="226"/>
      <c r="G156" s="226"/>
      <c r="H156" s="226"/>
      <c r="I156" s="226"/>
      <c r="J156" s="226"/>
      <c r="K156" s="226"/>
      <c r="L156" s="226"/>
      <c r="M156" s="226"/>
      <c r="N156" s="49"/>
    </row>
    <row r="157" spans="1:15" s="38" customFormat="1" ht="18" customHeight="1" x14ac:dyDescent="0.25">
      <c r="A157" s="226"/>
      <c r="B157" s="1623" t="s">
        <v>1303</v>
      </c>
      <c r="C157" s="1623"/>
      <c r="D157" s="75">
        <f>IFERROR(E155/C155,0)</f>
        <v>0</v>
      </c>
      <c r="E157" s="226"/>
      <c r="F157" s="226"/>
      <c r="G157" s="1623" t="s">
        <v>1304</v>
      </c>
      <c r="H157" s="1623"/>
      <c r="I157" s="1624">
        <f>IFERROR(K155/H155,0)</f>
        <v>0</v>
      </c>
      <c r="J157" s="1624"/>
      <c r="K157" s="226"/>
      <c r="L157" s="226"/>
      <c r="M157" s="226"/>
      <c r="N157" s="49"/>
    </row>
    <row r="158" spans="1:15" s="38" customFormat="1" ht="19.5" customHeight="1" x14ac:dyDescent="0.25">
      <c r="A158" s="226"/>
      <c r="B158" s="226"/>
      <c r="C158" s="226"/>
      <c r="D158" s="226"/>
      <c r="E158" s="226"/>
      <c r="F158" s="226"/>
      <c r="G158" s="226"/>
      <c r="H158" s="226"/>
      <c r="I158" s="226"/>
      <c r="J158" s="226"/>
      <c r="K158" s="226"/>
      <c r="L158" s="226"/>
      <c r="M158" s="226"/>
      <c r="N158" s="49"/>
    </row>
    <row r="159" spans="1:15" s="38" customFormat="1" ht="16.5" customHeight="1" x14ac:dyDescent="0.25">
      <c r="A159" s="1592" t="s">
        <v>186</v>
      </c>
      <c r="B159" s="1592"/>
      <c r="C159" s="1592"/>
      <c r="D159" s="226"/>
      <c r="E159" s="226"/>
      <c r="F159" s="226"/>
      <c r="G159" s="226"/>
      <c r="H159" s="226"/>
      <c r="I159" s="226"/>
      <c r="J159" s="226"/>
      <c r="K159" s="226"/>
      <c r="L159" s="226"/>
      <c r="M159" s="226"/>
      <c r="N159" s="49"/>
    </row>
    <row r="160" spans="1:15" s="38" customFormat="1" x14ac:dyDescent="0.25">
      <c r="A160" s="226"/>
      <c r="B160" s="226"/>
      <c r="C160" s="226"/>
      <c r="D160" s="226"/>
      <c r="E160" s="226"/>
      <c r="F160" s="226"/>
      <c r="G160" s="226"/>
      <c r="H160" s="226"/>
      <c r="I160" s="226"/>
      <c r="J160" s="226"/>
      <c r="K160" s="226"/>
      <c r="L160" s="226"/>
      <c r="M160" s="226"/>
      <c r="N160" s="49"/>
    </row>
    <row r="161" spans="1:14" s="38" customFormat="1" ht="18" customHeight="1" x14ac:dyDescent="0.25">
      <c r="A161" s="190"/>
      <c r="B161" s="1582" t="s">
        <v>1739</v>
      </c>
      <c r="C161" s="1583"/>
      <c r="D161" s="1583"/>
      <c r="E161" s="1583"/>
      <c r="F161" s="1583"/>
      <c r="G161" s="934" t="s">
        <v>1737</v>
      </c>
      <c r="H161" s="1589" t="s">
        <v>1738</v>
      </c>
      <c r="I161" s="1590"/>
      <c r="J161" s="190"/>
      <c r="K161" s="190"/>
      <c r="L161" s="226"/>
      <c r="M161" s="226"/>
      <c r="N161" s="49"/>
    </row>
    <row r="162" spans="1:14" s="38" customFormat="1" ht="24" customHeight="1" x14ac:dyDescent="0.25">
      <c r="A162" s="190"/>
      <c r="B162" s="1576" t="s">
        <v>1115</v>
      </c>
      <c r="C162" s="1577"/>
      <c r="D162" s="1577"/>
      <c r="E162" s="1577"/>
      <c r="F162" s="1578"/>
      <c r="G162" s="471" t="s">
        <v>124</v>
      </c>
      <c r="H162" s="1587"/>
      <c r="I162" s="1588"/>
      <c r="J162" s="190"/>
      <c r="K162" s="190"/>
      <c r="L162" s="226"/>
      <c r="M162" s="226"/>
      <c r="N162" s="49"/>
    </row>
    <row r="163" spans="1:14" s="38" customFormat="1" ht="24" customHeight="1" x14ac:dyDescent="0.25">
      <c r="A163" s="190"/>
      <c r="B163" s="1576" t="s">
        <v>1116</v>
      </c>
      <c r="C163" s="1577"/>
      <c r="D163" s="1577"/>
      <c r="E163" s="1577"/>
      <c r="F163" s="1578"/>
      <c r="G163" s="471" t="s">
        <v>124</v>
      </c>
      <c r="H163" s="1587"/>
      <c r="I163" s="1588"/>
      <c r="J163" s="190"/>
      <c r="K163" s="190"/>
      <c r="L163" s="226"/>
      <c r="M163" s="226"/>
      <c r="N163" s="49"/>
    </row>
    <row r="164" spans="1:14" s="38" customFormat="1" ht="19.5" customHeight="1" x14ac:dyDescent="0.25">
      <c r="A164" s="190"/>
      <c r="B164" s="190"/>
      <c r="C164" s="190"/>
      <c r="D164" s="190"/>
      <c r="E164" s="190"/>
      <c r="F164" s="190"/>
      <c r="G164" s="190"/>
      <c r="H164" s="190"/>
      <c r="I164" s="190"/>
      <c r="J164" s="190"/>
      <c r="K164" s="190"/>
      <c r="L164" s="226"/>
      <c r="M164" s="226"/>
      <c r="N164" s="49"/>
    </row>
    <row r="165" spans="1:14" s="38" customFormat="1" ht="16.5" customHeight="1" x14ac:dyDescent="0.25">
      <c r="A165" s="1592" t="s">
        <v>22</v>
      </c>
      <c r="B165" s="1592"/>
      <c r="C165" s="1592"/>
      <c r="D165" s="190"/>
      <c r="E165" s="190"/>
      <c r="F165" s="190"/>
      <c r="G165" s="190"/>
      <c r="H165" s="190"/>
      <c r="I165" s="190"/>
      <c r="J165" s="190"/>
      <c r="K165" s="190"/>
      <c r="L165" s="226"/>
      <c r="M165" s="226"/>
      <c r="N165" s="49"/>
    </row>
    <row r="166" spans="1:14" s="38" customFormat="1" ht="16.5" customHeight="1" x14ac:dyDescent="0.25">
      <c r="A166" s="190"/>
      <c r="B166" s="190"/>
      <c r="C166" s="190"/>
      <c r="D166" s="190"/>
      <c r="E166" s="190"/>
      <c r="F166" s="190"/>
      <c r="G166" s="190"/>
      <c r="H166" s="190"/>
      <c r="I166" s="190"/>
      <c r="J166" s="190"/>
      <c r="K166" s="190"/>
      <c r="L166" s="226"/>
      <c r="M166" s="226"/>
      <c r="N166" s="49"/>
    </row>
    <row r="167" spans="1:14" s="38" customFormat="1" ht="18" customHeight="1" x14ac:dyDescent="0.25">
      <c r="A167" s="190"/>
      <c r="B167" s="171" t="s">
        <v>53</v>
      </c>
      <c r="C167" s="1328" t="str">
        <f>IF($D$11="Prescriptive Path",IF(AND(D157&gt;=0.95,I157&gt;=0.95),1,0),"/")</f>
        <v>/</v>
      </c>
      <c r="D167" s="190"/>
      <c r="E167" s="190"/>
      <c r="F167" s="190"/>
      <c r="G167" s="190"/>
      <c r="H167" s="190"/>
      <c r="I167" s="190"/>
      <c r="J167" s="190"/>
      <c r="K167" s="190"/>
      <c r="L167" s="226"/>
      <c r="M167" s="226"/>
      <c r="N167" s="49"/>
    </row>
    <row r="168" spans="1:14" s="38" customFormat="1" ht="18" customHeight="1" x14ac:dyDescent="0.25">
      <c r="A168" s="190"/>
      <c r="B168" s="171" t="s">
        <v>492</v>
      </c>
      <c r="C168" s="1328" t="str">
        <f>IF($D$11="Prescriptive Path",IF(COUNTIF(O150:O154,"Yes")&gt;0,IF(AND(G162="Submitted",G163="Submitted",C167&gt;0),"Yes","No"),IF(AND(G162="Submitted",C167&gt;0),"Yes","No")),"/")</f>
        <v>/</v>
      </c>
      <c r="D168" s="190"/>
      <c r="E168" s="190"/>
      <c r="F168" s="190"/>
      <c r="G168" s="190"/>
      <c r="H168" s="190"/>
      <c r="I168" s="190"/>
      <c r="J168" s="190"/>
      <c r="K168" s="190"/>
      <c r="L168" s="226"/>
      <c r="M168" s="226"/>
      <c r="N168" s="49"/>
    </row>
    <row r="169" spans="1:14" s="38" customFormat="1" ht="24" customHeight="1" x14ac:dyDescent="0.25">
      <c r="A169" s="190"/>
      <c r="B169" s="190"/>
      <c r="C169" s="190"/>
      <c r="D169" s="190"/>
      <c r="E169" s="190"/>
      <c r="F169" s="190"/>
      <c r="G169" s="190"/>
      <c r="H169" s="190"/>
      <c r="I169" s="190"/>
      <c r="J169" s="190"/>
      <c r="K169" s="190"/>
      <c r="L169" s="226"/>
      <c r="M169" s="226"/>
      <c r="N169" s="49"/>
    </row>
    <row r="170" spans="1:14" s="38" customFormat="1" ht="18" customHeight="1" x14ac:dyDescent="0.25">
      <c r="A170" s="1591" t="s">
        <v>15</v>
      </c>
      <c r="B170" s="1591"/>
      <c r="C170" s="1591"/>
      <c r="D170" s="1591"/>
      <c r="E170" s="1591"/>
      <c r="F170" s="1591"/>
      <c r="G170" s="1591"/>
      <c r="H170" s="1591"/>
      <c r="I170" s="1591"/>
      <c r="J170" s="1591"/>
      <c r="K170" s="1591"/>
      <c r="L170" s="1591"/>
      <c r="M170" s="1591"/>
      <c r="N170" s="49"/>
    </row>
    <row r="171" spans="1:14" s="38" customFormat="1" ht="18" customHeight="1" x14ac:dyDescent="0.25">
      <c r="A171" s="191"/>
      <c r="B171" s="191"/>
      <c r="C171" s="191"/>
      <c r="D171" s="191"/>
      <c r="E171" s="191"/>
      <c r="F171" s="191"/>
      <c r="G171" s="191"/>
      <c r="H171" s="191"/>
      <c r="I171" s="191"/>
      <c r="J171" s="191"/>
      <c r="K171" s="191"/>
      <c r="L171" s="191"/>
      <c r="M171" s="191"/>
      <c r="N171" s="49"/>
    </row>
    <row r="172" spans="1:14" s="38" customFormat="1" ht="18" customHeight="1" x14ac:dyDescent="0.25">
      <c r="A172" s="191"/>
      <c r="B172" s="191"/>
      <c r="C172" s="191"/>
      <c r="D172" s="191"/>
      <c r="E172" s="191"/>
      <c r="F172" s="191"/>
      <c r="G172" s="191"/>
      <c r="H172" s="191"/>
      <c r="I172" s="191"/>
      <c r="J172" s="191"/>
      <c r="K172" s="191"/>
      <c r="L172" s="191"/>
      <c r="M172" s="191"/>
      <c r="N172" s="49"/>
    </row>
    <row r="173" spans="1:14" s="38" customFormat="1" ht="18" customHeight="1" x14ac:dyDescent="0.25">
      <c r="A173" s="191"/>
      <c r="B173" s="191"/>
      <c r="C173" s="191"/>
      <c r="D173" s="191"/>
      <c r="E173" s="191"/>
      <c r="F173" s="191"/>
      <c r="G173" s="191"/>
      <c r="H173" s="191"/>
      <c r="I173" s="191"/>
      <c r="J173" s="191"/>
      <c r="K173" s="191"/>
      <c r="L173" s="191"/>
      <c r="M173" s="191"/>
      <c r="N173" s="49"/>
    </row>
    <row r="174" spans="1:14" ht="18" customHeight="1" x14ac:dyDescent="0.25">
      <c r="A174" s="1592" t="s">
        <v>527</v>
      </c>
      <c r="B174" s="1592"/>
      <c r="C174" s="1592"/>
      <c r="D174" s="1592"/>
      <c r="E174" s="1592"/>
      <c r="F174" s="1592"/>
      <c r="G174" s="1592"/>
      <c r="H174" s="1592"/>
      <c r="I174" s="1592"/>
      <c r="J174" s="1592"/>
      <c r="K174" s="1592"/>
      <c r="L174" s="1592"/>
      <c r="M174" s="1592"/>
      <c r="N174" s="5"/>
    </row>
    <row r="175" spans="1:14" ht="15.75" customHeight="1" x14ac:dyDescent="0.25">
      <c r="A175" s="250"/>
      <c r="B175" s="250"/>
      <c r="C175" s="250"/>
      <c r="D175" s="250"/>
      <c r="E175" s="250"/>
      <c r="F175" s="191"/>
      <c r="G175" s="191"/>
      <c r="H175" s="191"/>
      <c r="I175" s="191"/>
      <c r="J175" s="191"/>
      <c r="K175" s="191"/>
      <c r="L175" s="191"/>
      <c r="M175" s="191"/>
      <c r="N175" s="5"/>
    </row>
    <row r="176" spans="1:14" ht="15.75" customHeight="1" x14ac:dyDescent="0.25">
      <c r="A176" s="1592" t="s">
        <v>245</v>
      </c>
      <c r="B176" s="1592"/>
      <c r="C176" s="1592"/>
      <c r="D176" s="250"/>
      <c r="E176" s="250"/>
      <c r="F176" s="191"/>
      <c r="G176" s="191"/>
      <c r="H176" s="191"/>
      <c r="I176" s="191"/>
      <c r="J176" s="191"/>
      <c r="K176" s="191"/>
      <c r="L176" s="191"/>
      <c r="M176" s="191"/>
      <c r="N176" s="5"/>
    </row>
    <row r="177" spans="1:14" ht="15.75" customHeight="1" x14ac:dyDescent="0.25">
      <c r="A177" s="250"/>
      <c r="B177" s="250"/>
      <c r="C177" s="250"/>
      <c r="D177" s="250"/>
      <c r="E177" s="250"/>
      <c r="F177" s="191"/>
      <c r="G177" s="191"/>
      <c r="H177" s="191"/>
      <c r="I177" s="191"/>
      <c r="J177" s="191"/>
      <c r="K177" s="191"/>
      <c r="L177" s="191"/>
      <c r="M177" s="191"/>
      <c r="N177" s="5"/>
    </row>
    <row r="178" spans="1:14" ht="15.75" customHeight="1" x14ac:dyDescent="0.25">
      <c r="A178" s="250"/>
      <c r="B178" s="814" t="s">
        <v>1421</v>
      </c>
      <c r="C178" s="250"/>
      <c r="D178" s="250"/>
      <c r="E178" s="250"/>
      <c r="F178" s="191"/>
      <c r="G178" s="191"/>
      <c r="H178" s="191"/>
      <c r="I178" s="191"/>
      <c r="J178" s="191"/>
      <c r="K178" s="191"/>
      <c r="L178" s="191"/>
      <c r="M178" s="191"/>
      <c r="N178" s="5"/>
    </row>
    <row r="179" spans="1:14" ht="15.75" customHeight="1" x14ac:dyDescent="0.25">
      <c r="A179" s="250"/>
      <c r="B179" s="812" t="s">
        <v>1423</v>
      </c>
      <c r="C179" s="250"/>
      <c r="D179" s="250"/>
      <c r="E179" s="250"/>
      <c r="F179" s="191"/>
      <c r="G179" s="191"/>
      <c r="H179" s="191"/>
      <c r="I179" s="191"/>
      <c r="J179" s="191"/>
      <c r="K179" s="191"/>
      <c r="L179" s="191"/>
      <c r="M179" s="191"/>
      <c r="N179" s="5"/>
    </row>
    <row r="180" spans="1:14" ht="12" customHeight="1" x14ac:dyDescent="0.25">
      <c r="A180" s="250"/>
      <c r="B180" s="250"/>
      <c r="C180" s="250"/>
      <c r="D180" s="250"/>
      <c r="E180" s="250"/>
      <c r="F180" s="191"/>
      <c r="G180" s="191"/>
      <c r="H180" s="191"/>
      <c r="I180" s="191"/>
      <c r="J180" s="191"/>
      <c r="K180" s="191"/>
      <c r="L180" s="191"/>
      <c r="M180" s="191"/>
      <c r="N180" s="5"/>
    </row>
    <row r="181" spans="1:14" ht="15.75" customHeight="1" x14ac:dyDescent="0.25">
      <c r="A181" s="250"/>
      <c r="B181" s="812" t="s">
        <v>1422</v>
      </c>
      <c r="C181" s="250"/>
      <c r="D181" s="250"/>
      <c r="E181" s="250"/>
      <c r="F181" s="191"/>
      <c r="G181" s="191"/>
      <c r="H181" s="191"/>
      <c r="I181" s="191"/>
      <c r="J181" s="191"/>
      <c r="K181" s="191"/>
      <c r="L181" s="191"/>
      <c r="M181" s="191"/>
      <c r="N181" s="5"/>
    </row>
    <row r="182" spans="1:14" ht="15.75" customHeight="1" x14ac:dyDescent="0.25">
      <c r="A182" s="250"/>
      <c r="B182" s="813"/>
      <c r="C182" s="250"/>
      <c r="D182" s="250"/>
      <c r="E182" s="250"/>
      <c r="F182" s="191"/>
      <c r="G182" s="191"/>
      <c r="H182" s="191"/>
      <c r="I182" s="191"/>
      <c r="J182" s="191"/>
      <c r="K182" s="191"/>
      <c r="L182" s="191"/>
      <c r="M182" s="191"/>
      <c r="N182" s="5"/>
    </row>
    <row r="183" spans="1:14" ht="31.5" customHeight="1" x14ac:dyDescent="0.25">
      <c r="A183" s="223"/>
      <c r="B183" s="1684" t="s">
        <v>1424</v>
      </c>
      <c r="C183" s="1684"/>
      <c r="D183" s="1684"/>
      <c r="E183" s="1684"/>
      <c r="F183" s="1684"/>
      <c r="G183" s="1684"/>
      <c r="H183" s="1684"/>
      <c r="I183" s="191"/>
      <c r="J183" s="191"/>
      <c r="K183" s="191"/>
      <c r="L183" s="191"/>
      <c r="M183" s="191"/>
      <c r="N183" s="5"/>
    </row>
    <row r="184" spans="1:14" ht="7.5" customHeight="1" x14ac:dyDescent="0.25">
      <c r="A184" s="223"/>
      <c r="B184" s="223"/>
      <c r="C184" s="223"/>
      <c r="D184" s="223"/>
      <c r="E184" s="191"/>
      <c r="F184" s="191"/>
      <c r="G184" s="223"/>
      <c r="H184" s="191"/>
      <c r="I184" s="191"/>
      <c r="J184" s="191"/>
      <c r="K184" s="191"/>
      <c r="L184" s="191"/>
      <c r="M184" s="191"/>
      <c r="N184" s="5"/>
    </row>
    <row r="185" spans="1:14" ht="18" customHeight="1" x14ac:dyDescent="0.25">
      <c r="A185" s="191"/>
      <c r="B185" s="371" t="s">
        <v>1428</v>
      </c>
      <c r="C185" s="393" t="s">
        <v>1425</v>
      </c>
      <c r="D185" s="394" t="s">
        <v>1426</v>
      </c>
      <c r="E185" s="191"/>
      <c r="F185" s="371" t="s">
        <v>731</v>
      </c>
      <c r="G185" s="393" t="s">
        <v>1425</v>
      </c>
      <c r="H185" s="394" t="s">
        <v>1427</v>
      </c>
      <c r="I185" s="191"/>
      <c r="J185" s="191"/>
      <c r="K185" s="191"/>
      <c r="L185" s="191"/>
      <c r="M185" s="191"/>
      <c r="N185" s="5"/>
    </row>
    <row r="186" spans="1:14" x14ac:dyDescent="0.25">
      <c r="A186" s="191"/>
      <c r="B186" s="803"/>
      <c r="C186" s="803"/>
      <c r="D186" s="815"/>
      <c r="E186" s="816"/>
      <c r="F186" s="803"/>
      <c r="G186" s="803"/>
      <c r="H186" s="815"/>
      <c r="I186" s="191"/>
      <c r="J186" s="191"/>
      <c r="K186" s="191"/>
      <c r="L186" s="191"/>
      <c r="M186" s="191"/>
      <c r="N186" s="5"/>
    </row>
    <row r="187" spans="1:14" x14ac:dyDescent="0.25">
      <c r="A187" s="191"/>
      <c r="B187" s="804"/>
      <c r="C187" s="803"/>
      <c r="D187" s="817"/>
      <c r="E187" s="816"/>
      <c r="F187" s="804"/>
      <c r="G187" s="804"/>
      <c r="H187" s="817"/>
      <c r="I187" s="191"/>
      <c r="J187" s="191"/>
      <c r="K187" s="191"/>
      <c r="L187" s="191"/>
      <c r="M187" s="191"/>
      <c r="N187" s="5"/>
    </row>
    <row r="188" spans="1:14" x14ac:dyDescent="0.25">
      <c r="A188" s="191"/>
      <c r="B188" s="804"/>
      <c r="C188" s="803"/>
      <c r="D188" s="817"/>
      <c r="E188" s="816"/>
      <c r="F188" s="804"/>
      <c r="G188" s="804"/>
      <c r="H188" s="817"/>
      <c r="I188" s="191"/>
      <c r="J188" s="191"/>
      <c r="K188" s="191"/>
      <c r="L188" s="191"/>
      <c r="M188" s="191"/>
      <c r="N188" s="5"/>
    </row>
    <row r="189" spans="1:14" x14ac:dyDescent="0.25">
      <c r="A189" s="191"/>
      <c r="B189" s="804"/>
      <c r="C189" s="803"/>
      <c r="D189" s="817"/>
      <c r="E189" s="816"/>
      <c r="F189" s="804"/>
      <c r="G189" s="804"/>
      <c r="H189" s="817"/>
      <c r="I189" s="191"/>
      <c r="J189" s="191"/>
      <c r="K189" s="191"/>
      <c r="L189" s="191"/>
      <c r="M189" s="191"/>
      <c r="N189" s="5"/>
    </row>
    <row r="190" spans="1:14" x14ac:dyDescent="0.25">
      <c r="A190" s="191"/>
      <c r="B190" s="804"/>
      <c r="C190" s="803"/>
      <c r="D190" s="817"/>
      <c r="E190" s="816"/>
      <c r="F190" s="804"/>
      <c r="G190" s="804"/>
      <c r="H190" s="817"/>
      <c r="I190" s="191"/>
      <c r="J190" s="191"/>
      <c r="K190" s="191"/>
      <c r="L190" s="191"/>
      <c r="M190" s="191"/>
      <c r="N190" s="5"/>
    </row>
    <row r="191" spans="1:14" x14ac:dyDescent="0.25">
      <c r="A191" s="191"/>
      <c r="B191" s="804"/>
      <c r="C191" s="803"/>
      <c r="D191" s="817"/>
      <c r="E191" s="816"/>
      <c r="F191" s="804"/>
      <c r="G191" s="804"/>
      <c r="H191" s="817"/>
      <c r="I191" s="191"/>
      <c r="J191" s="191"/>
      <c r="K191" s="191"/>
      <c r="L191" s="191"/>
      <c r="M191" s="191"/>
      <c r="N191" s="5"/>
    </row>
    <row r="192" spans="1:14" x14ac:dyDescent="0.25">
      <c r="A192" s="191"/>
      <c r="B192" s="804"/>
      <c r="C192" s="803"/>
      <c r="D192" s="817"/>
      <c r="E192" s="816"/>
      <c r="F192" s="804"/>
      <c r="G192" s="804"/>
      <c r="H192" s="817"/>
      <c r="I192" s="191"/>
      <c r="J192" s="191"/>
      <c r="K192" s="191"/>
      <c r="L192" s="191"/>
      <c r="M192" s="191"/>
      <c r="N192" s="5"/>
    </row>
    <row r="193" spans="1:14" x14ac:dyDescent="0.25">
      <c r="A193" s="191"/>
      <c r="B193" s="819" t="s">
        <v>1429</v>
      </c>
      <c r="C193" s="1234">
        <f>IFERROR(SUMPRODUCT(C186:C192,D186:D192)/SUM(D186:D192),0)</f>
        <v>0</v>
      </c>
      <c r="D193" s="818">
        <f>SUM(D186:D192)</f>
        <v>0</v>
      </c>
      <c r="E193" s="816"/>
      <c r="F193" s="819" t="s">
        <v>1429</v>
      </c>
      <c r="G193" s="1234">
        <f>IFERROR(SUMPRODUCT(G186:G192,H186:H192)/SUM(H186:H192),0)</f>
        <v>0</v>
      </c>
      <c r="H193" s="818">
        <f>SUM(H186:H192)</f>
        <v>0</v>
      </c>
      <c r="I193" s="191"/>
      <c r="J193" s="191"/>
      <c r="K193" s="191"/>
      <c r="L193" s="191"/>
      <c r="M193" s="191"/>
      <c r="N193" s="5"/>
    </row>
    <row r="194" spans="1:14" x14ac:dyDescent="0.25">
      <c r="A194" s="191"/>
      <c r="B194" s="191"/>
      <c r="C194" s="191"/>
      <c r="D194" s="191"/>
      <c r="E194" s="191"/>
      <c r="F194" s="191"/>
      <c r="G194" s="191"/>
      <c r="H194" s="191"/>
      <c r="I194" s="191"/>
      <c r="J194" s="191"/>
      <c r="K194" s="191"/>
      <c r="L194" s="191"/>
      <c r="M194" s="191"/>
      <c r="N194" s="5"/>
    </row>
    <row r="195" spans="1:14" ht="18" customHeight="1" x14ac:dyDescent="0.25">
      <c r="A195" s="191"/>
      <c r="B195" s="1639" t="s">
        <v>1741</v>
      </c>
      <c r="C195" s="1639"/>
      <c r="D195" s="1639"/>
      <c r="E195" s="398" t="str">
        <f>IFERROR((SUMPRODUCT(C186:C192,D186:D192)+SUMPRODUCT(G186:G192,H186:H192))/SUM(D186:D192,H186:H192),"")</f>
        <v/>
      </c>
      <c r="F195" s="191"/>
      <c r="G195" s="191"/>
      <c r="H195" s="191"/>
      <c r="I195" s="191"/>
      <c r="J195" s="191"/>
      <c r="K195" s="191"/>
      <c r="L195" s="191"/>
      <c r="M195" s="191"/>
      <c r="N195" s="5"/>
    </row>
    <row r="196" spans="1:14" ht="18" customHeight="1" x14ac:dyDescent="0.25">
      <c r="A196" s="191"/>
      <c r="B196" s="1639" t="s">
        <v>142</v>
      </c>
      <c r="C196" s="1639"/>
      <c r="D196" s="1639"/>
      <c r="E196" s="399" t="str">
        <f>IFERROR(1-E195/((1.8*SUM(D186:D192)+1*SUM(H186:H192))/(SUM(D186:D192)+SUM(H186:H192))),"")</f>
        <v/>
      </c>
      <c r="F196" s="191"/>
      <c r="G196" s="191"/>
      <c r="H196" s="191"/>
      <c r="I196" s="191"/>
      <c r="J196" s="191"/>
      <c r="K196" s="191"/>
      <c r="L196" s="191"/>
      <c r="M196" s="191"/>
      <c r="N196" s="5"/>
    </row>
    <row r="197" spans="1:14" s="38" customFormat="1" ht="16.5" customHeight="1" x14ac:dyDescent="0.25">
      <c r="A197" s="191"/>
      <c r="B197" s="191"/>
      <c r="C197" s="191"/>
      <c r="D197" s="191"/>
      <c r="E197" s="191"/>
      <c r="F197" s="191"/>
      <c r="G197" s="191"/>
      <c r="H197" s="191"/>
      <c r="I197" s="191"/>
      <c r="J197" s="191"/>
      <c r="K197" s="191"/>
      <c r="L197" s="191"/>
      <c r="M197" s="191"/>
      <c r="N197" s="49"/>
    </row>
    <row r="198" spans="1:14" s="38" customFormat="1" ht="16.5" customHeight="1" x14ac:dyDescent="0.25">
      <c r="A198" s="1592" t="s">
        <v>186</v>
      </c>
      <c r="B198" s="1592"/>
      <c r="C198" s="1592"/>
      <c r="D198" s="191"/>
      <c r="E198" s="191"/>
      <c r="F198" s="191"/>
      <c r="G198" s="191"/>
      <c r="H198" s="191"/>
      <c r="I198" s="191"/>
      <c r="J198" s="191"/>
      <c r="K198" s="191"/>
      <c r="L198" s="191"/>
      <c r="M198" s="191"/>
      <c r="N198" s="49"/>
    </row>
    <row r="199" spans="1:14" s="38" customFormat="1" x14ac:dyDescent="0.25">
      <c r="A199" s="191"/>
      <c r="B199" s="191"/>
      <c r="C199" s="191"/>
      <c r="D199" s="191"/>
      <c r="E199" s="191"/>
      <c r="F199" s="191"/>
      <c r="G199" s="191"/>
      <c r="H199" s="191"/>
      <c r="I199" s="191"/>
      <c r="J199" s="191"/>
      <c r="K199" s="191"/>
      <c r="L199" s="191"/>
      <c r="M199" s="191"/>
      <c r="N199" s="49"/>
    </row>
    <row r="200" spans="1:14" s="38" customFormat="1" ht="18" customHeight="1" x14ac:dyDescent="0.25">
      <c r="A200" s="191"/>
      <c r="B200" s="1582" t="s">
        <v>1739</v>
      </c>
      <c r="C200" s="1583"/>
      <c r="D200" s="1583"/>
      <c r="E200" s="1583"/>
      <c r="F200" s="1583"/>
      <c r="G200" s="934" t="s">
        <v>1737</v>
      </c>
      <c r="H200" s="1589" t="s">
        <v>1738</v>
      </c>
      <c r="I200" s="1590"/>
      <c r="J200" s="191"/>
      <c r="K200" s="191"/>
      <c r="L200" s="191"/>
      <c r="M200" s="191"/>
      <c r="N200" s="49"/>
    </row>
    <row r="201" spans="1:14" s="38" customFormat="1" ht="24" customHeight="1" x14ac:dyDescent="0.25">
      <c r="A201" s="191"/>
      <c r="B201" s="1576" t="s">
        <v>1117</v>
      </c>
      <c r="C201" s="1577"/>
      <c r="D201" s="1577"/>
      <c r="E201" s="1577"/>
      <c r="F201" s="1578"/>
      <c r="G201" s="471" t="s">
        <v>124</v>
      </c>
      <c r="H201" s="1587"/>
      <c r="I201" s="1588"/>
      <c r="J201" s="191"/>
      <c r="K201" s="191"/>
      <c r="L201" s="191"/>
      <c r="M201" s="191"/>
      <c r="N201" s="49"/>
    </row>
    <row r="202" spans="1:14" s="38" customFormat="1" ht="24" customHeight="1" x14ac:dyDescent="0.25">
      <c r="A202" s="191"/>
      <c r="B202" s="1576" t="s">
        <v>1118</v>
      </c>
      <c r="C202" s="1577"/>
      <c r="D202" s="1577"/>
      <c r="E202" s="1577"/>
      <c r="F202" s="1578"/>
      <c r="G202" s="471" t="s">
        <v>124</v>
      </c>
      <c r="H202" s="1587"/>
      <c r="I202" s="1588"/>
      <c r="J202" s="191"/>
      <c r="K202" s="191"/>
      <c r="L202" s="191"/>
      <c r="M202" s="191"/>
      <c r="N202" s="49"/>
    </row>
    <row r="203" spans="1:14" s="38" customFormat="1" ht="16.5" customHeight="1" x14ac:dyDescent="0.25">
      <c r="A203" s="191"/>
      <c r="B203" s="191"/>
      <c r="C203" s="191"/>
      <c r="D203" s="191"/>
      <c r="E203" s="191"/>
      <c r="F203" s="191"/>
      <c r="G203" s="191"/>
      <c r="H203" s="191"/>
      <c r="I203" s="191"/>
      <c r="J203" s="191"/>
      <c r="K203" s="191"/>
      <c r="L203" s="191"/>
      <c r="M203" s="191"/>
      <c r="N203" s="49"/>
    </row>
    <row r="204" spans="1:14" s="38" customFormat="1" ht="16.5" customHeight="1" x14ac:dyDescent="0.25">
      <c r="A204" s="1592" t="s">
        <v>22</v>
      </c>
      <c r="B204" s="1592"/>
      <c r="C204" s="1592"/>
      <c r="D204" s="191"/>
      <c r="E204" s="191"/>
      <c r="F204" s="191"/>
      <c r="G204" s="191"/>
      <c r="H204" s="191"/>
      <c r="I204" s="191"/>
      <c r="J204" s="191"/>
      <c r="K204" s="191"/>
      <c r="L204" s="191"/>
      <c r="M204" s="191"/>
      <c r="N204" s="49"/>
    </row>
    <row r="205" spans="1:14" s="38" customFormat="1" ht="16.5" customHeight="1" x14ac:dyDescent="0.25">
      <c r="A205" s="191"/>
      <c r="B205" s="191"/>
      <c r="C205" s="191"/>
      <c r="D205" s="191"/>
      <c r="E205" s="191"/>
      <c r="F205" s="191"/>
      <c r="G205" s="191"/>
      <c r="H205" s="191"/>
      <c r="I205" s="191"/>
      <c r="J205" s="191"/>
      <c r="K205" s="191"/>
      <c r="L205" s="191"/>
      <c r="M205" s="191"/>
      <c r="N205" s="49"/>
    </row>
    <row r="206" spans="1:14" s="38" customFormat="1" ht="18" customHeight="1" x14ac:dyDescent="0.25">
      <c r="A206" s="191"/>
      <c r="B206" s="171" t="s">
        <v>53</v>
      </c>
      <c r="C206" s="1328" t="str">
        <f>IF($D$11="Performance Path",IF(E196="",0,IF(E196&gt;=0.4,2,IF(E196&gt;=0.2,1,0))),"/")</f>
        <v>/</v>
      </c>
      <c r="D206" s="191"/>
      <c r="E206" s="191"/>
      <c r="F206" s="191"/>
      <c r="G206" s="191"/>
      <c r="H206" s="191"/>
      <c r="I206" s="191"/>
      <c r="J206" s="191"/>
      <c r="K206" s="191"/>
      <c r="L206" s="191"/>
      <c r="M206" s="191"/>
      <c r="N206" s="49"/>
    </row>
    <row r="207" spans="1:14" s="38" customFormat="1" ht="18" customHeight="1" x14ac:dyDescent="0.25">
      <c r="A207" s="191"/>
      <c r="B207" s="171" t="s">
        <v>492</v>
      </c>
      <c r="C207" s="1328" t="str">
        <f>IF($D$11="Performance Path",IF(AND(G201="Submitted",G202="Submitted",C206&gt;0),"Yes","No"),"/")</f>
        <v>/</v>
      </c>
      <c r="D207" s="191"/>
      <c r="E207" s="191"/>
      <c r="F207" s="191"/>
      <c r="G207" s="191"/>
      <c r="H207" s="191"/>
      <c r="I207" s="191"/>
      <c r="J207" s="191"/>
      <c r="K207" s="191"/>
      <c r="L207" s="191"/>
      <c r="M207" s="191"/>
      <c r="N207" s="49"/>
    </row>
    <row r="208" spans="1:14" s="38" customFormat="1" ht="18" customHeight="1" x14ac:dyDescent="0.25">
      <c r="A208" s="191"/>
      <c r="B208" s="191"/>
      <c r="C208" s="191"/>
      <c r="D208" s="191"/>
      <c r="E208" s="191"/>
      <c r="F208" s="191"/>
      <c r="G208" s="191"/>
      <c r="H208" s="191"/>
      <c r="I208" s="191"/>
      <c r="J208" s="191"/>
      <c r="K208" s="191"/>
      <c r="L208" s="191"/>
      <c r="M208" s="191"/>
      <c r="N208" s="49"/>
    </row>
    <row r="209" spans="1:14" ht="18" customHeight="1" x14ac:dyDescent="0.25">
      <c r="A209" s="1592" t="s">
        <v>528</v>
      </c>
      <c r="B209" s="1592"/>
      <c r="C209" s="1592"/>
      <c r="D209" s="1592"/>
      <c r="E209" s="1592"/>
      <c r="F209" s="1592"/>
      <c r="G209" s="1592"/>
      <c r="H209" s="1592"/>
      <c r="I209" s="1592"/>
      <c r="J209" s="1592"/>
      <c r="K209" s="1592"/>
      <c r="L209" s="1592"/>
      <c r="M209" s="1592"/>
      <c r="N209" s="5"/>
    </row>
    <row r="210" spans="1:14" s="38" customFormat="1" ht="16.5" customHeight="1" x14ac:dyDescent="0.25">
      <c r="A210" s="191"/>
      <c r="B210" s="191"/>
      <c r="C210" s="191"/>
      <c r="D210" s="191"/>
      <c r="E210" s="191"/>
      <c r="F210" s="191"/>
      <c r="G210" s="191"/>
      <c r="H210" s="191"/>
      <c r="I210" s="191"/>
      <c r="J210" s="191"/>
      <c r="K210" s="191"/>
      <c r="L210" s="191"/>
      <c r="M210" s="191"/>
      <c r="N210" s="49"/>
    </row>
    <row r="211" spans="1:14" s="38" customFormat="1" ht="16.5" customHeight="1" x14ac:dyDescent="0.25">
      <c r="A211" s="1592" t="s">
        <v>245</v>
      </c>
      <c r="B211" s="1592"/>
      <c r="C211" s="1592"/>
      <c r="D211" s="191"/>
      <c r="E211" s="191"/>
      <c r="F211" s="191"/>
      <c r="G211" s="191"/>
      <c r="H211" s="191"/>
      <c r="I211" s="191"/>
      <c r="J211" s="191"/>
      <c r="K211" s="191"/>
      <c r="L211" s="191"/>
      <c r="M211" s="191"/>
      <c r="N211" s="49"/>
    </row>
    <row r="212" spans="1:14" s="38" customFormat="1" ht="16.5" customHeight="1" x14ac:dyDescent="0.25">
      <c r="A212" s="191"/>
      <c r="B212" s="191"/>
      <c r="C212" s="191"/>
      <c r="D212" s="191"/>
      <c r="E212" s="191"/>
      <c r="F212" s="191"/>
      <c r="G212" s="191"/>
      <c r="H212" s="191"/>
      <c r="I212" s="191"/>
      <c r="J212" s="191"/>
      <c r="K212" s="191"/>
      <c r="L212" s="191"/>
      <c r="M212" s="191"/>
      <c r="N212" s="49"/>
    </row>
    <row r="213" spans="1:14" s="38" customFormat="1" ht="16.5" customHeight="1" x14ac:dyDescent="0.25">
      <c r="A213" s="191"/>
      <c r="B213" s="830" t="s">
        <v>1478</v>
      </c>
      <c r="C213" s="191"/>
      <c r="D213" s="191"/>
      <c r="E213" s="191"/>
      <c r="F213" s="191"/>
      <c r="G213" s="191"/>
      <c r="H213" s="191"/>
      <c r="I213" s="191"/>
      <c r="J213" s="191"/>
      <c r="K213" s="191"/>
      <c r="L213" s="191"/>
      <c r="M213" s="191"/>
      <c r="N213" s="49"/>
    </row>
    <row r="214" spans="1:14" s="38" customFormat="1" ht="16.5" customHeight="1" x14ac:dyDescent="0.25">
      <c r="A214" s="191"/>
      <c r="B214" s="191"/>
      <c r="C214" s="191"/>
      <c r="D214" s="191"/>
      <c r="E214" s="191"/>
      <c r="F214" s="191"/>
      <c r="G214" s="191"/>
      <c r="H214" s="191"/>
      <c r="I214" s="191"/>
      <c r="J214" s="191"/>
      <c r="K214" s="191"/>
      <c r="L214" s="191"/>
      <c r="M214" s="191"/>
      <c r="N214" s="49"/>
    </row>
    <row r="215" spans="1:14" s="38" customFormat="1" ht="16.5" customHeight="1" x14ac:dyDescent="0.25">
      <c r="A215" s="191"/>
      <c r="B215" s="1292" t="s">
        <v>2435</v>
      </c>
      <c r="C215" s="1293"/>
      <c r="D215" s="1293"/>
      <c r="E215" s="1293"/>
      <c r="F215" s="1293"/>
      <c r="G215" s="1293"/>
      <c r="H215" s="1293"/>
      <c r="I215" s="1293"/>
      <c r="J215" s="1293"/>
      <c r="K215" s="1294"/>
      <c r="L215" s="191"/>
      <c r="M215" s="191"/>
      <c r="N215" s="49"/>
    </row>
    <row r="216" spans="1:14" s="38" customFormat="1" ht="21" customHeight="1" x14ac:dyDescent="0.25">
      <c r="A216" s="191"/>
      <c r="B216" s="1654" t="s">
        <v>2436</v>
      </c>
      <c r="C216" s="1655"/>
      <c r="D216" s="1655"/>
      <c r="E216" s="1655"/>
      <c r="F216" s="1655"/>
      <c r="G216" s="1655"/>
      <c r="H216" s="1655"/>
      <c r="I216" s="1655"/>
      <c r="J216" s="1655"/>
      <c r="K216" s="1656"/>
      <c r="L216" s="191"/>
      <c r="M216" s="191"/>
      <c r="N216" s="49"/>
    </row>
    <row r="217" spans="1:14" s="38" customFormat="1" ht="21" customHeight="1" x14ac:dyDescent="0.25">
      <c r="A217" s="191"/>
      <c r="B217" s="1657"/>
      <c r="C217" s="1658"/>
      <c r="D217" s="1658"/>
      <c r="E217" s="1658"/>
      <c r="F217" s="1658"/>
      <c r="G217" s="1658"/>
      <c r="H217" s="1658"/>
      <c r="I217" s="1658"/>
      <c r="J217" s="1658"/>
      <c r="K217" s="1659"/>
      <c r="L217" s="191"/>
      <c r="M217" s="191"/>
      <c r="N217" s="49"/>
    </row>
    <row r="218" spans="1:14" s="38" customFormat="1" ht="16.5" customHeight="1" x14ac:dyDescent="0.25">
      <c r="A218" s="191"/>
      <c r="B218" s="191"/>
      <c r="C218" s="191"/>
      <c r="D218" s="191"/>
      <c r="E218" s="191"/>
      <c r="F218" s="191"/>
      <c r="G218" s="191"/>
      <c r="H218" s="191"/>
      <c r="I218" s="191"/>
      <c r="J218" s="191"/>
      <c r="K218" s="191"/>
      <c r="L218" s="191"/>
      <c r="M218" s="191"/>
      <c r="N218" s="49"/>
    </row>
    <row r="219" spans="1:14" s="38" customFormat="1" ht="16.5" customHeight="1" x14ac:dyDescent="0.25">
      <c r="A219" s="191"/>
      <c r="B219" s="1653" t="s">
        <v>1480</v>
      </c>
      <c r="C219" s="1653"/>
      <c r="D219" s="1653"/>
      <c r="E219" s="1653"/>
      <c r="F219" s="1653"/>
      <c r="G219" s="1653"/>
      <c r="H219" s="1653"/>
      <c r="I219" s="1653"/>
      <c r="J219" s="1653"/>
      <c r="K219" s="191"/>
      <c r="L219" s="191"/>
      <c r="M219" s="191"/>
      <c r="N219" s="49"/>
    </row>
    <row r="220" spans="1:14" s="38" customFormat="1" ht="16.5" customHeight="1" x14ac:dyDescent="0.25">
      <c r="A220" s="191"/>
      <c r="B220" s="1651" t="s">
        <v>789</v>
      </c>
      <c r="C220" s="1650" t="s">
        <v>786</v>
      </c>
      <c r="D220" s="1650"/>
      <c r="E220" s="1650"/>
      <c r="F220" s="1650"/>
      <c r="G220" s="1650"/>
      <c r="H220" s="1650"/>
      <c r="I220" s="1650"/>
      <c r="J220" s="1650"/>
      <c r="K220" s="1650"/>
      <c r="L220" s="191"/>
      <c r="M220" s="191"/>
      <c r="N220" s="49"/>
    </row>
    <row r="221" spans="1:14" s="38" customFormat="1" ht="16.5" customHeight="1" x14ac:dyDescent="0.25">
      <c r="A221" s="191"/>
      <c r="B221" s="1652"/>
      <c r="C221" s="831" t="s">
        <v>791</v>
      </c>
      <c r="D221" s="832" t="s">
        <v>344</v>
      </c>
      <c r="E221" s="832" t="s">
        <v>790</v>
      </c>
      <c r="F221" s="831" t="s">
        <v>792</v>
      </c>
      <c r="G221" s="831" t="s">
        <v>793</v>
      </c>
      <c r="H221" s="831" t="s">
        <v>794</v>
      </c>
      <c r="I221" s="831" t="s">
        <v>795</v>
      </c>
      <c r="J221" s="1650" t="s">
        <v>796</v>
      </c>
      <c r="K221" s="1650"/>
      <c r="L221" s="191"/>
      <c r="M221" s="191"/>
      <c r="N221" s="49"/>
    </row>
    <row r="222" spans="1:14" s="38" customFormat="1" ht="16.5" customHeight="1" x14ac:dyDescent="0.25">
      <c r="A222" s="191"/>
      <c r="B222" s="833">
        <v>20</v>
      </c>
      <c r="C222" s="833">
        <v>0.9</v>
      </c>
      <c r="D222" s="833">
        <v>0.8</v>
      </c>
      <c r="E222" s="833">
        <v>0.8</v>
      </c>
      <c r="F222" s="807">
        <v>0.86</v>
      </c>
      <c r="G222" s="807">
        <v>0.86</v>
      </c>
      <c r="H222" s="807">
        <v>0.86</v>
      </c>
      <c r="I222" s="807">
        <v>0.86</v>
      </c>
      <c r="J222" s="1638">
        <v>0.9</v>
      </c>
      <c r="K222" s="1638"/>
      <c r="L222" s="191"/>
      <c r="M222" s="191"/>
      <c r="N222" s="49"/>
    </row>
    <row r="223" spans="1:14" s="38" customFormat="1" ht="16.5" customHeight="1" x14ac:dyDescent="0.25">
      <c r="A223" s="191"/>
      <c r="B223" s="833">
        <v>30</v>
      </c>
      <c r="C223" s="833">
        <v>0.64</v>
      </c>
      <c r="D223" s="833">
        <v>0.57999999999999996</v>
      </c>
      <c r="E223" s="833">
        <v>0.57999999999999996</v>
      </c>
      <c r="F223" s="807">
        <v>0.63</v>
      </c>
      <c r="G223" s="807">
        <v>0.63</v>
      </c>
      <c r="H223" s="807">
        <v>0.63</v>
      </c>
      <c r="I223" s="807">
        <v>0.63</v>
      </c>
      <c r="J223" s="1638">
        <v>0.7</v>
      </c>
      <c r="K223" s="1638"/>
      <c r="L223" s="191"/>
      <c r="M223" s="191"/>
      <c r="N223" s="49"/>
    </row>
    <row r="224" spans="1:14" s="38" customFormat="1" ht="16.5" customHeight="1" x14ac:dyDescent="0.25">
      <c r="A224" s="191"/>
      <c r="B224" s="833">
        <v>40</v>
      </c>
      <c r="C224" s="833">
        <v>0.5</v>
      </c>
      <c r="D224" s="833">
        <v>0.46</v>
      </c>
      <c r="E224" s="833">
        <v>0.46</v>
      </c>
      <c r="F224" s="807">
        <v>0.49</v>
      </c>
      <c r="G224" s="807">
        <v>0.49</v>
      </c>
      <c r="H224" s="807">
        <v>0.49</v>
      </c>
      <c r="I224" s="807">
        <v>0.49</v>
      </c>
      <c r="J224" s="1638">
        <v>0.56000000000000005</v>
      </c>
      <c r="K224" s="1638"/>
      <c r="L224" s="191"/>
      <c r="M224" s="191"/>
      <c r="N224" s="49"/>
    </row>
    <row r="225" spans="1:30" s="38" customFormat="1" ht="16.5" customHeight="1" x14ac:dyDescent="0.25">
      <c r="A225" s="191"/>
      <c r="B225" s="833">
        <v>50</v>
      </c>
      <c r="C225" s="833">
        <v>0.4</v>
      </c>
      <c r="D225" s="833">
        <v>0.38</v>
      </c>
      <c r="E225" s="833">
        <v>0.38</v>
      </c>
      <c r="F225" s="807">
        <v>0.4</v>
      </c>
      <c r="G225" s="807">
        <v>0.4</v>
      </c>
      <c r="H225" s="807">
        <v>0.4</v>
      </c>
      <c r="I225" s="807">
        <v>0.4</v>
      </c>
      <c r="J225" s="1638">
        <v>0.45</v>
      </c>
      <c r="K225" s="1638"/>
      <c r="L225" s="191"/>
      <c r="M225" s="191"/>
      <c r="N225" s="49"/>
    </row>
    <row r="226" spans="1:30" s="38" customFormat="1" ht="16.5" customHeight="1" x14ac:dyDescent="0.25">
      <c r="A226" s="191"/>
      <c r="B226" s="833">
        <v>60</v>
      </c>
      <c r="C226" s="833">
        <v>0.33</v>
      </c>
      <c r="D226" s="833">
        <v>0.32</v>
      </c>
      <c r="E226" s="833">
        <v>0.32</v>
      </c>
      <c r="F226" s="807">
        <v>0.34</v>
      </c>
      <c r="G226" s="807">
        <v>0.34</v>
      </c>
      <c r="H226" s="807">
        <v>0.34</v>
      </c>
      <c r="I226" s="807">
        <v>0.34</v>
      </c>
      <c r="J226" s="1638">
        <v>0.39</v>
      </c>
      <c r="K226" s="1638"/>
      <c r="L226" s="191"/>
      <c r="M226" s="191"/>
      <c r="N226" s="49"/>
    </row>
    <row r="227" spans="1:30" s="38" customFormat="1" ht="16.5" customHeight="1" x14ac:dyDescent="0.25">
      <c r="A227" s="191"/>
      <c r="B227" s="833">
        <v>70</v>
      </c>
      <c r="C227" s="833">
        <v>0.27</v>
      </c>
      <c r="D227" s="833">
        <v>0.27</v>
      </c>
      <c r="E227" s="833">
        <v>0.27</v>
      </c>
      <c r="F227" s="807">
        <v>0.28999999999999998</v>
      </c>
      <c r="G227" s="807">
        <v>0.28999999999999998</v>
      </c>
      <c r="H227" s="807">
        <v>0.28999999999999998</v>
      </c>
      <c r="I227" s="807">
        <v>0.28999999999999998</v>
      </c>
      <c r="J227" s="1638">
        <v>0.33</v>
      </c>
      <c r="K227" s="1638"/>
      <c r="L227" s="191"/>
      <c r="M227" s="191"/>
      <c r="N227" s="49"/>
    </row>
    <row r="228" spans="1:30" s="38" customFormat="1" ht="16.5" customHeight="1" x14ac:dyDescent="0.25">
      <c r="A228" s="191"/>
      <c r="B228" s="833">
        <v>80</v>
      </c>
      <c r="C228" s="833">
        <v>0.23</v>
      </c>
      <c r="D228" s="833">
        <v>0.23</v>
      </c>
      <c r="E228" s="833">
        <v>0.23</v>
      </c>
      <c r="F228" s="807">
        <v>0.25</v>
      </c>
      <c r="G228" s="807">
        <v>0.25</v>
      </c>
      <c r="H228" s="807">
        <v>0.25</v>
      </c>
      <c r="I228" s="807">
        <v>0.25</v>
      </c>
      <c r="J228" s="1638">
        <v>0.28000000000000003</v>
      </c>
      <c r="K228" s="1638"/>
      <c r="L228" s="191"/>
      <c r="M228" s="191"/>
      <c r="N228" s="49"/>
    </row>
    <row r="229" spans="1:30" s="38" customFormat="1" ht="16.5" customHeight="1" x14ac:dyDescent="0.25">
      <c r="A229" s="191"/>
      <c r="B229" s="833">
        <v>90</v>
      </c>
      <c r="C229" s="833">
        <v>0.2</v>
      </c>
      <c r="D229" s="833">
        <v>0.2</v>
      </c>
      <c r="E229" s="833">
        <v>0.2</v>
      </c>
      <c r="F229" s="807">
        <v>0.21</v>
      </c>
      <c r="G229" s="807">
        <v>0.21</v>
      </c>
      <c r="H229" s="807">
        <v>0.21</v>
      </c>
      <c r="I229" s="807">
        <v>0.21</v>
      </c>
      <c r="J229" s="1638">
        <v>0.25</v>
      </c>
      <c r="K229" s="1638"/>
      <c r="L229" s="191"/>
      <c r="M229" s="191"/>
      <c r="N229" s="49"/>
    </row>
    <row r="230" spans="1:30" s="38" customFormat="1" ht="16.5" customHeight="1" x14ac:dyDescent="0.25">
      <c r="A230" s="191"/>
      <c r="B230" s="833">
        <v>100</v>
      </c>
      <c r="C230" s="833">
        <v>0.17</v>
      </c>
      <c r="D230" s="833">
        <v>0.18</v>
      </c>
      <c r="E230" s="833">
        <v>0.18</v>
      </c>
      <c r="F230" s="807">
        <v>0.19</v>
      </c>
      <c r="G230" s="807">
        <v>0.19</v>
      </c>
      <c r="H230" s="807">
        <v>0.19</v>
      </c>
      <c r="I230" s="807">
        <v>0.19</v>
      </c>
      <c r="J230" s="1638">
        <v>0.22</v>
      </c>
      <c r="K230" s="1638"/>
      <c r="L230" s="191"/>
      <c r="M230" s="191"/>
      <c r="N230" s="49"/>
    </row>
    <row r="231" spans="1:30" s="38" customFormat="1" ht="16.5" customHeight="1" x14ac:dyDescent="0.25">
      <c r="A231" s="191"/>
      <c r="B231" s="191"/>
      <c r="C231" s="191"/>
      <c r="D231" s="191"/>
      <c r="E231" s="191"/>
      <c r="F231" s="191"/>
      <c r="G231" s="191"/>
      <c r="H231" s="191"/>
      <c r="I231" s="191"/>
      <c r="J231" s="191"/>
      <c r="K231" s="191"/>
      <c r="L231" s="191"/>
      <c r="M231" s="191"/>
      <c r="N231" s="49"/>
    </row>
    <row r="232" spans="1:30" s="38" customFormat="1" ht="16.5" customHeight="1" thickBot="1" x14ac:dyDescent="0.3">
      <c r="A232" s="191"/>
      <c r="B232" s="820" t="s">
        <v>1742</v>
      </c>
      <c r="C232" s="191"/>
      <c r="D232" s="191"/>
      <c r="E232" s="191"/>
      <c r="F232" s="191"/>
      <c r="G232" s="191"/>
      <c r="H232" s="191"/>
      <c r="I232" s="191"/>
      <c r="J232" s="191"/>
      <c r="K232" s="191"/>
      <c r="L232" s="191"/>
      <c r="M232" s="191"/>
      <c r="N232" s="49"/>
    </row>
    <row r="233" spans="1:30" s="38" customFormat="1" ht="9.75" customHeight="1" thickBot="1" x14ac:dyDescent="0.3">
      <c r="A233" s="191"/>
      <c r="B233" s="191"/>
      <c r="C233" s="191"/>
      <c r="D233" s="191"/>
      <c r="E233" s="191"/>
      <c r="F233" s="191"/>
      <c r="G233" s="191"/>
      <c r="H233" s="191"/>
      <c r="I233" s="191"/>
      <c r="J233" s="191"/>
      <c r="K233" s="191"/>
      <c r="L233" s="191"/>
      <c r="M233" s="191"/>
      <c r="N233" s="49"/>
      <c r="V233" s="447" t="s">
        <v>785</v>
      </c>
      <c r="W233" s="1660" t="s">
        <v>786</v>
      </c>
      <c r="X233" s="1661"/>
      <c r="Y233" s="1661"/>
      <c r="Z233" s="1662"/>
    </row>
    <row r="234" spans="1:30" ht="24.75" customHeight="1" thickBot="1" x14ac:dyDescent="0.3">
      <c r="A234" s="191"/>
      <c r="B234" s="371" t="s">
        <v>2456</v>
      </c>
      <c r="C234" s="439" t="s">
        <v>782</v>
      </c>
      <c r="D234" s="439" t="s">
        <v>1479</v>
      </c>
      <c r="E234" s="905" t="s">
        <v>1426</v>
      </c>
      <c r="F234" s="905" t="s">
        <v>789</v>
      </c>
      <c r="G234" s="439" t="s">
        <v>802</v>
      </c>
      <c r="H234" s="439" t="s">
        <v>783</v>
      </c>
      <c r="I234" s="440" t="s">
        <v>784</v>
      </c>
      <c r="J234" s="191"/>
      <c r="K234" s="191"/>
      <c r="L234" s="191"/>
      <c r="M234" s="191"/>
      <c r="N234" s="11"/>
      <c r="O234" t="s">
        <v>787</v>
      </c>
      <c r="P234" t="s">
        <v>788</v>
      </c>
      <c r="Q234" t="s">
        <v>799</v>
      </c>
      <c r="R234" t="s">
        <v>800</v>
      </c>
      <c r="S234" t="s">
        <v>801</v>
      </c>
      <c r="T234" t="s">
        <v>797</v>
      </c>
      <c r="U234" t="s">
        <v>798</v>
      </c>
      <c r="V234" s="448" t="s">
        <v>124</v>
      </c>
      <c r="W234" s="449" t="s">
        <v>791</v>
      </c>
      <c r="X234" s="450" t="s">
        <v>344</v>
      </c>
      <c r="Y234" s="450" t="s">
        <v>790</v>
      </c>
      <c r="Z234" s="451" t="s">
        <v>792</v>
      </c>
      <c r="AA234" s="451" t="s">
        <v>793</v>
      </c>
      <c r="AB234" s="451" t="s">
        <v>794</v>
      </c>
      <c r="AC234" s="451" t="s">
        <v>795</v>
      </c>
      <c r="AD234" s="451" t="s">
        <v>796</v>
      </c>
    </row>
    <row r="235" spans="1:30" ht="15.75" thickBot="1" x14ac:dyDescent="0.3">
      <c r="A235" s="191"/>
      <c r="B235" s="444"/>
      <c r="C235" s="444" t="s">
        <v>124</v>
      </c>
      <c r="D235" s="445"/>
      <c r="E235" s="444"/>
      <c r="F235" s="455" t="str">
        <f t="shared" ref="F235:F244" si="2">IFERROR(D235/E235,"")</f>
        <v/>
      </c>
      <c r="G235" s="444"/>
      <c r="H235" s="444"/>
      <c r="I235" s="458" t="str">
        <f t="shared" ref="I235:I244" si="3">IFERROR(IF(O235=P235,AVERAGE(T235:U235)/G235,T235+(F235-O235/100)*(U235-T235)/(P235/100-O235/100)/G235),"")</f>
        <v/>
      </c>
      <c r="J235" s="191"/>
      <c r="K235" s="191"/>
      <c r="L235" s="191"/>
      <c r="M235" s="191"/>
      <c r="N235" s="11"/>
      <c r="O235" t="str">
        <f t="shared" ref="O235:O244" si="4">IF(OR(F235="",F235="Select"),"",IF(F235&lt;0.2,20,IF(F235&lt;0.3,20,IF(F235&lt;0.4,30,IF(F235&lt;0.5,40,IF(F235&lt;0.6,50,IF(F235&lt;0.7,60,IF(F235&lt;0.8,70,IF(F235&lt;0.9,80,90)))))))))</f>
        <v/>
      </c>
      <c r="P235" t="str">
        <f t="shared" ref="P235:P244" si="5">IF(OR(F235="",F235="Select"),"",IF(F235&lt;=0.2,20,IF(F235&lt;=0.3,30,IF(F235&lt;=0.4,40,IF(F235&lt;=0.5,50,IF(F235&lt;=0.6,60,IF(F235&lt;=0.7,70,IF(F235&lt;=0.8,80,IF(F235&lt;=0.9,90,100)))))))))</f>
        <v/>
      </c>
      <c r="Q235">
        <f t="shared" ref="Q235:Q244" si="6">MATCH(C235,$V$234:$AD$234,0)</f>
        <v>1</v>
      </c>
      <c r="R235" t="e">
        <f t="shared" ref="R235:S244" si="7">MATCH(O235,$V$234:$V$247,0)</f>
        <v>#N/A</v>
      </c>
      <c r="S235" t="e">
        <f t="shared" si="7"/>
        <v>#N/A</v>
      </c>
      <c r="T235" t="e">
        <f t="shared" ref="T235:T244" si="8">INDEX($V$234:$AD$247,R235,Q235)</f>
        <v>#N/A</v>
      </c>
      <c r="U235" t="e">
        <f t="shared" ref="U235:U244" si="9">INDEX($V$234:$AD$247,S235,Q235)</f>
        <v>#N/A</v>
      </c>
      <c r="V235" s="452">
        <v>20</v>
      </c>
      <c r="W235" s="453">
        <v>0.9</v>
      </c>
      <c r="X235" s="453">
        <v>0.8</v>
      </c>
      <c r="Y235" s="453">
        <v>0.8</v>
      </c>
      <c r="Z235" s="454">
        <v>0.86</v>
      </c>
      <c r="AA235" s="454">
        <v>0.86</v>
      </c>
      <c r="AB235" s="454">
        <v>0.86</v>
      </c>
      <c r="AC235" s="454">
        <v>0.86</v>
      </c>
      <c r="AD235" s="454">
        <v>0.9</v>
      </c>
    </row>
    <row r="236" spans="1:30" ht="15.75" thickBot="1" x14ac:dyDescent="0.3">
      <c r="A236" s="191"/>
      <c r="B236" s="444"/>
      <c r="C236" s="444" t="s">
        <v>124</v>
      </c>
      <c r="D236" s="445"/>
      <c r="E236" s="444"/>
      <c r="F236" s="455" t="str">
        <f t="shared" si="2"/>
        <v/>
      </c>
      <c r="G236" s="444"/>
      <c r="H236" s="444"/>
      <c r="I236" s="458" t="str">
        <f t="shared" si="3"/>
        <v/>
      </c>
      <c r="J236" s="191"/>
      <c r="K236" s="191"/>
      <c r="L236" s="191"/>
      <c r="M236" s="191"/>
      <c r="N236" s="11"/>
      <c r="O236" t="str">
        <f t="shared" si="4"/>
        <v/>
      </c>
      <c r="P236" t="str">
        <f t="shared" si="5"/>
        <v/>
      </c>
      <c r="Q236">
        <f t="shared" si="6"/>
        <v>1</v>
      </c>
      <c r="R236" t="e">
        <f t="shared" si="7"/>
        <v>#N/A</v>
      </c>
      <c r="S236" t="e">
        <f t="shared" si="7"/>
        <v>#N/A</v>
      </c>
      <c r="T236" t="e">
        <f t="shared" si="8"/>
        <v>#N/A</v>
      </c>
      <c r="U236" t="e">
        <f t="shared" si="9"/>
        <v>#N/A</v>
      </c>
      <c r="V236" s="452">
        <v>30</v>
      </c>
      <c r="W236" s="453">
        <v>0.64</v>
      </c>
      <c r="X236" s="453">
        <v>0.57999999999999996</v>
      </c>
      <c r="Y236" s="453">
        <v>0.57999999999999996</v>
      </c>
      <c r="Z236" s="454">
        <v>0.63</v>
      </c>
      <c r="AA236" s="454">
        <v>0.63</v>
      </c>
      <c r="AB236" s="454">
        <v>0.63</v>
      </c>
      <c r="AC236" s="454">
        <v>0.63</v>
      </c>
      <c r="AD236" s="454">
        <v>0.7</v>
      </c>
    </row>
    <row r="237" spans="1:30" ht="15.75" thickBot="1" x14ac:dyDescent="0.3">
      <c r="A237" s="191"/>
      <c r="B237" s="444"/>
      <c r="C237" s="444" t="s">
        <v>124</v>
      </c>
      <c r="D237" s="445"/>
      <c r="E237" s="444"/>
      <c r="F237" s="455" t="str">
        <f t="shared" si="2"/>
        <v/>
      </c>
      <c r="G237" s="444"/>
      <c r="H237" s="444"/>
      <c r="I237" s="458" t="str">
        <f t="shared" si="3"/>
        <v/>
      </c>
      <c r="J237" s="191"/>
      <c r="K237" s="191"/>
      <c r="L237" s="191"/>
      <c r="M237" s="191"/>
      <c r="N237" s="11"/>
      <c r="O237" t="str">
        <f t="shared" si="4"/>
        <v/>
      </c>
      <c r="P237" t="str">
        <f t="shared" si="5"/>
        <v/>
      </c>
      <c r="Q237">
        <f t="shared" si="6"/>
        <v>1</v>
      </c>
      <c r="R237" t="e">
        <f t="shared" si="7"/>
        <v>#N/A</v>
      </c>
      <c r="S237" t="e">
        <f t="shared" si="7"/>
        <v>#N/A</v>
      </c>
      <c r="T237" t="e">
        <f t="shared" si="8"/>
        <v>#N/A</v>
      </c>
      <c r="U237" t="e">
        <f t="shared" si="9"/>
        <v>#N/A</v>
      </c>
      <c r="V237" s="452">
        <v>40</v>
      </c>
      <c r="W237" s="453">
        <v>0.5</v>
      </c>
      <c r="X237" s="453">
        <v>0.46</v>
      </c>
      <c r="Y237" s="453">
        <v>0.46</v>
      </c>
      <c r="Z237" s="454">
        <v>0.49</v>
      </c>
      <c r="AA237" s="454">
        <v>0.49</v>
      </c>
      <c r="AB237" s="454">
        <v>0.49</v>
      </c>
      <c r="AC237" s="454">
        <v>0.49</v>
      </c>
      <c r="AD237" s="454">
        <v>0.56000000000000005</v>
      </c>
    </row>
    <row r="238" spans="1:30" ht="15.75" thickBot="1" x14ac:dyDescent="0.3">
      <c r="A238" s="191"/>
      <c r="B238" s="444"/>
      <c r="C238" s="444" t="s">
        <v>124</v>
      </c>
      <c r="D238" s="445"/>
      <c r="E238" s="444"/>
      <c r="F238" s="455" t="str">
        <f t="shared" si="2"/>
        <v/>
      </c>
      <c r="G238" s="444"/>
      <c r="H238" s="444"/>
      <c r="I238" s="458" t="str">
        <f t="shared" si="3"/>
        <v/>
      </c>
      <c r="J238" s="191"/>
      <c r="K238" s="191"/>
      <c r="L238" s="191"/>
      <c r="M238" s="191"/>
      <c r="N238" s="11"/>
      <c r="O238" t="str">
        <f t="shared" si="4"/>
        <v/>
      </c>
      <c r="P238" t="str">
        <f t="shared" si="5"/>
        <v/>
      </c>
      <c r="Q238">
        <f t="shared" si="6"/>
        <v>1</v>
      </c>
      <c r="R238" t="e">
        <f t="shared" si="7"/>
        <v>#N/A</v>
      </c>
      <c r="S238" t="e">
        <f t="shared" si="7"/>
        <v>#N/A</v>
      </c>
      <c r="T238" t="e">
        <f t="shared" si="8"/>
        <v>#N/A</v>
      </c>
      <c r="U238" t="e">
        <f t="shared" si="9"/>
        <v>#N/A</v>
      </c>
      <c r="V238" s="452">
        <v>50</v>
      </c>
      <c r="W238" s="453">
        <v>0.4</v>
      </c>
      <c r="X238" s="453">
        <v>0.38</v>
      </c>
      <c r="Y238" s="453">
        <v>0.38</v>
      </c>
      <c r="Z238" s="454">
        <v>0.4</v>
      </c>
      <c r="AA238" s="454">
        <v>0.4</v>
      </c>
      <c r="AB238" s="454">
        <v>0.4</v>
      </c>
      <c r="AC238" s="454">
        <v>0.4</v>
      </c>
      <c r="AD238" s="454">
        <v>0.45</v>
      </c>
    </row>
    <row r="239" spans="1:30" ht="15.75" thickBot="1" x14ac:dyDescent="0.3">
      <c r="A239" s="191"/>
      <c r="B239" s="1284"/>
      <c r="C239" s="1284" t="s">
        <v>124</v>
      </c>
      <c r="D239" s="445"/>
      <c r="E239" s="1284"/>
      <c r="F239" s="455" t="str">
        <f t="shared" ref="F239:F242" si="10">IFERROR(D239/E239,"")</f>
        <v/>
      </c>
      <c r="G239" s="1284"/>
      <c r="H239" s="1284"/>
      <c r="I239" s="458" t="str">
        <f t="shared" ref="I239:I242" si="11">IFERROR(IF(O239=P239,AVERAGE(T239:U239)/G239,T239+(F239-O239/100)*(U239-T239)/(P239/100-O239/100)/G239),"")</f>
        <v/>
      </c>
      <c r="J239" s="191"/>
      <c r="K239" s="191"/>
      <c r="L239" s="191"/>
      <c r="M239" s="191"/>
      <c r="N239" s="11"/>
      <c r="V239" s="452"/>
      <c r="W239" s="453"/>
      <c r="X239" s="453"/>
      <c r="Y239" s="453"/>
      <c r="Z239" s="454"/>
      <c r="AA239" s="454"/>
      <c r="AB239" s="454"/>
      <c r="AC239" s="454"/>
      <c r="AD239" s="454"/>
    </row>
    <row r="240" spans="1:30" ht="15.75" thickBot="1" x14ac:dyDescent="0.3">
      <c r="A240" s="191"/>
      <c r="B240" s="1284"/>
      <c r="C240" s="1284" t="s">
        <v>124</v>
      </c>
      <c r="D240" s="445"/>
      <c r="E240" s="1284"/>
      <c r="F240" s="455" t="str">
        <f t="shared" si="10"/>
        <v/>
      </c>
      <c r="G240" s="1284"/>
      <c r="H240" s="1284"/>
      <c r="I240" s="458" t="str">
        <f t="shared" si="11"/>
        <v/>
      </c>
      <c r="J240" s="191"/>
      <c r="K240" s="191"/>
      <c r="L240" s="191"/>
      <c r="M240" s="191"/>
      <c r="N240" s="11"/>
      <c r="V240" s="452"/>
      <c r="W240" s="453"/>
      <c r="X240" s="453"/>
      <c r="Y240" s="453"/>
      <c r="Z240" s="454"/>
      <c r="AA240" s="454"/>
      <c r="AB240" s="454"/>
      <c r="AC240" s="454"/>
      <c r="AD240" s="454"/>
    </row>
    <row r="241" spans="1:31" ht="15.75" thickBot="1" x14ac:dyDescent="0.3">
      <c r="A241" s="191"/>
      <c r="B241" s="1284"/>
      <c r="C241" s="1284" t="s">
        <v>124</v>
      </c>
      <c r="D241" s="445"/>
      <c r="E241" s="1284"/>
      <c r="F241" s="455" t="str">
        <f t="shared" ref="F241" si="12">IFERROR(D241/E241,"")</f>
        <v/>
      </c>
      <c r="G241" s="1284"/>
      <c r="H241" s="1284"/>
      <c r="I241" s="458" t="str">
        <f t="shared" ref="I241" si="13">IFERROR(IF(O241=P241,AVERAGE(T241:U241)/G241,T241+(F241-O241/100)*(U241-T241)/(P241/100-O241/100)/G241),"")</f>
        <v/>
      </c>
      <c r="J241" s="191"/>
      <c r="K241" s="191"/>
      <c r="L241" s="191"/>
      <c r="M241" s="191"/>
      <c r="N241" s="11"/>
      <c r="V241" s="452"/>
      <c r="W241" s="453"/>
      <c r="X241" s="453"/>
      <c r="Y241" s="453"/>
      <c r="Z241" s="454"/>
      <c r="AA241" s="454"/>
      <c r="AB241" s="454"/>
      <c r="AC241" s="454"/>
      <c r="AD241" s="454"/>
    </row>
    <row r="242" spans="1:31" ht="15.75" thickBot="1" x14ac:dyDescent="0.3">
      <c r="A242" s="191"/>
      <c r="B242" s="1284"/>
      <c r="C242" s="1284" t="s">
        <v>124</v>
      </c>
      <c r="D242" s="445"/>
      <c r="E242" s="1284"/>
      <c r="F242" s="455" t="str">
        <f t="shared" si="10"/>
        <v/>
      </c>
      <c r="G242" s="1284"/>
      <c r="H242" s="1284"/>
      <c r="I242" s="458" t="str">
        <f t="shared" si="11"/>
        <v/>
      </c>
      <c r="J242" s="191"/>
      <c r="K242" s="191"/>
      <c r="L242" s="191"/>
      <c r="M242" s="191"/>
      <c r="N242" s="11"/>
      <c r="V242" s="452"/>
      <c r="W242" s="453"/>
      <c r="X242" s="453"/>
      <c r="Y242" s="453"/>
      <c r="Z242" s="454"/>
      <c r="AA242" s="454"/>
      <c r="AB242" s="454"/>
      <c r="AC242" s="454"/>
      <c r="AD242" s="454"/>
    </row>
    <row r="243" spans="1:31" ht="15.75" thickBot="1" x14ac:dyDescent="0.3">
      <c r="A243" s="191"/>
      <c r="B243" s="444"/>
      <c r="C243" s="444" t="s">
        <v>124</v>
      </c>
      <c r="D243" s="445"/>
      <c r="E243" s="444"/>
      <c r="F243" s="455" t="str">
        <f t="shared" si="2"/>
        <v/>
      </c>
      <c r="G243" s="444"/>
      <c r="H243" s="444"/>
      <c r="I243" s="458" t="str">
        <f t="shared" si="3"/>
        <v/>
      </c>
      <c r="J243" s="191"/>
      <c r="K243" s="191"/>
      <c r="L243" s="191"/>
      <c r="M243" s="191"/>
      <c r="N243" s="11"/>
      <c r="O243" t="str">
        <f t="shared" si="4"/>
        <v/>
      </c>
      <c r="P243" t="str">
        <f t="shared" si="5"/>
        <v/>
      </c>
      <c r="Q243">
        <f t="shared" si="6"/>
        <v>1</v>
      </c>
      <c r="R243" t="e">
        <f t="shared" si="7"/>
        <v>#N/A</v>
      </c>
      <c r="S243" t="e">
        <f t="shared" si="7"/>
        <v>#N/A</v>
      </c>
      <c r="T243" t="e">
        <f t="shared" si="8"/>
        <v>#N/A</v>
      </c>
      <c r="U243" t="e">
        <f t="shared" si="9"/>
        <v>#N/A</v>
      </c>
      <c r="V243" s="452">
        <v>60</v>
      </c>
      <c r="W243" s="453">
        <v>0.33</v>
      </c>
      <c r="X243" s="453">
        <v>0.32</v>
      </c>
      <c r="Y243" s="453">
        <v>0.32</v>
      </c>
      <c r="Z243" s="454">
        <v>0.34</v>
      </c>
      <c r="AA243" s="454">
        <v>0.34</v>
      </c>
      <c r="AB243" s="454">
        <v>0.34</v>
      </c>
      <c r="AC243" s="454">
        <v>0.34</v>
      </c>
      <c r="AD243" s="454">
        <v>0.39</v>
      </c>
    </row>
    <row r="244" spans="1:31" ht="15.75" thickBot="1" x14ac:dyDescent="0.3">
      <c r="A244" s="191"/>
      <c r="B244" s="444"/>
      <c r="C244" s="444" t="s">
        <v>124</v>
      </c>
      <c r="D244" s="445"/>
      <c r="E244" s="444"/>
      <c r="F244" s="455" t="str">
        <f t="shared" si="2"/>
        <v/>
      </c>
      <c r="G244" s="444"/>
      <c r="H244" s="444"/>
      <c r="I244" s="458" t="str">
        <f t="shared" si="3"/>
        <v/>
      </c>
      <c r="J244" s="191"/>
      <c r="K244" s="191"/>
      <c r="L244" s="191"/>
      <c r="M244" s="191"/>
      <c r="N244" s="11"/>
      <c r="O244" t="str">
        <f t="shared" si="4"/>
        <v/>
      </c>
      <c r="P244" t="str">
        <f t="shared" si="5"/>
        <v/>
      </c>
      <c r="Q244">
        <f t="shared" si="6"/>
        <v>1</v>
      </c>
      <c r="R244" t="e">
        <f t="shared" si="7"/>
        <v>#N/A</v>
      </c>
      <c r="S244" t="e">
        <f t="shared" si="7"/>
        <v>#N/A</v>
      </c>
      <c r="T244" t="e">
        <f t="shared" si="8"/>
        <v>#N/A</v>
      </c>
      <c r="U244" t="e">
        <f t="shared" si="9"/>
        <v>#N/A</v>
      </c>
      <c r="V244" s="452">
        <v>70</v>
      </c>
      <c r="W244" s="453">
        <v>0.27</v>
      </c>
      <c r="X244" s="453">
        <v>0.27</v>
      </c>
      <c r="Y244" s="453">
        <v>0.27</v>
      </c>
      <c r="Z244" s="454">
        <v>0.28999999999999998</v>
      </c>
      <c r="AA244" s="454">
        <v>0.28999999999999998</v>
      </c>
      <c r="AB244" s="454">
        <v>0.28999999999999998</v>
      </c>
      <c r="AC244" s="454">
        <v>0.28999999999999998</v>
      </c>
      <c r="AD244" s="454">
        <v>0.33</v>
      </c>
    </row>
    <row r="245" spans="1:31" ht="16.5" customHeight="1" thickBot="1" x14ac:dyDescent="0.3">
      <c r="A245" s="191"/>
      <c r="B245" s="191"/>
      <c r="C245" s="191"/>
      <c r="D245" s="191"/>
      <c r="E245" s="191"/>
      <c r="F245" s="191"/>
      <c r="G245" s="191"/>
      <c r="H245" s="191"/>
      <c r="I245" s="191"/>
      <c r="J245" s="191"/>
      <c r="K245" s="191"/>
      <c r="L245" s="191"/>
      <c r="M245" s="191"/>
      <c r="N245" s="11"/>
      <c r="V245" s="452">
        <v>80</v>
      </c>
      <c r="W245" s="453">
        <v>0.23</v>
      </c>
      <c r="X245" s="453">
        <v>0.23</v>
      </c>
      <c r="Y245" s="453">
        <v>0.23</v>
      </c>
      <c r="Z245" s="454">
        <v>0.25</v>
      </c>
      <c r="AA245" s="454">
        <v>0.25</v>
      </c>
      <c r="AB245" s="454">
        <v>0.25</v>
      </c>
      <c r="AC245" s="454">
        <v>0.25</v>
      </c>
      <c r="AD245" s="454">
        <v>0.28000000000000003</v>
      </c>
      <c r="AE245" s="38"/>
    </row>
    <row r="246" spans="1:31" ht="18" customHeight="1" thickBot="1" x14ac:dyDescent="0.3">
      <c r="A246" s="191"/>
      <c r="B246" s="1640" t="s">
        <v>50</v>
      </c>
      <c r="C246" s="1640"/>
      <c r="D246" s="456" t="str">
        <f>IFERROR(SUMPRODUCT(H235:H244,D235:D244)/SUM(D235:D244),"")</f>
        <v/>
      </c>
      <c r="E246" s="191"/>
      <c r="F246" s="191"/>
      <c r="G246" s="191"/>
      <c r="H246" s="191"/>
      <c r="I246" s="191"/>
      <c r="J246" s="191"/>
      <c r="K246" s="191"/>
      <c r="L246" s="191"/>
      <c r="M246" s="191"/>
      <c r="N246" s="11"/>
      <c r="V246" s="452">
        <v>90</v>
      </c>
      <c r="W246" s="453">
        <v>0.2</v>
      </c>
      <c r="X246" s="453">
        <v>0.2</v>
      </c>
      <c r="Y246" s="453">
        <v>0.2</v>
      </c>
      <c r="Z246" s="454">
        <v>0.21</v>
      </c>
      <c r="AA246" s="454">
        <v>0.21</v>
      </c>
      <c r="AB246" s="454">
        <v>0.21</v>
      </c>
      <c r="AC246" s="454">
        <v>0.21</v>
      </c>
      <c r="AD246" s="454">
        <v>0.25</v>
      </c>
      <c r="AE246" s="38"/>
    </row>
    <row r="247" spans="1:31" s="38" customFormat="1" ht="18" customHeight="1" thickBot="1" x14ac:dyDescent="0.3">
      <c r="A247" s="191"/>
      <c r="B247" s="1640" t="s">
        <v>803</v>
      </c>
      <c r="C247" s="1640"/>
      <c r="D247" s="456" t="str">
        <f>IFERROR(SUMPRODUCT(I235:I244,D235:D244)/SUM(D235:D244),"")</f>
        <v/>
      </c>
      <c r="E247" s="191"/>
      <c r="F247" s="191"/>
      <c r="G247" s="191"/>
      <c r="H247" s="191"/>
      <c r="I247" s="191"/>
      <c r="J247" s="191"/>
      <c r="K247" s="191"/>
      <c r="L247" s="191"/>
      <c r="M247" s="191"/>
      <c r="N247" s="49"/>
      <c r="V247" s="452">
        <v>100</v>
      </c>
      <c r="W247" s="453">
        <v>0.17</v>
      </c>
      <c r="X247" s="453">
        <v>0.18</v>
      </c>
      <c r="Y247" s="453">
        <v>0.18</v>
      </c>
      <c r="Z247" s="454">
        <v>0.19</v>
      </c>
      <c r="AA247" s="454">
        <v>0.19</v>
      </c>
      <c r="AB247" s="454">
        <v>0.19</v>
      </c>
      <c r="AC247" s="454">
        <v>0.19</v>
      </c>
      <c r="AD247" s="454">
        <v>0.22</v>
      </c>
    </row>
    <row r="248" spans="1:31" s="38" customFormat="1" ht="18" customHeight="1" x14ac:dyDescent="0.25">
      <c r="A248" s="191"/>
      <c r="B248" s="1640" t="s">
        <v>804</v>
      </c>
      <c r="C248" s="1640"/>
      <c r="D248" s="457" t="str">
        <f>IFERROR(1-D246/D247,"")</f>
        <v/>
      </c>
      <c r="E248" s="191"/>
      <c r="F248" s="191"/>
      <c r="G248" s="191"/>
      <c r="H248" s="191"/>
      <c r="I248" s="191"/>
      <c r="J248" s="191"/>
      <c r="K248" s="191"/>
      <c r="L248" s="191"/>
      <c r="M248" s="191"/>
      <c r="N248" s="49"/>
    </row>
    <row r="249" spans="1:31" s="38" customFormat="1" ht="18" customHeight="1" x14ac:dyDescent="0.25">
      <c r="A249" s="191"/>
      <c r="B249" s="191"/>
      <c r="C249" s="191"/>
      <c r="D249" s="191"/>
      <c r="E249" s="191"/>
      <c r="F249" s="191"/>
      <c r="G249" s="191"/>
      <c r="H249" s="191"/>
      <c r="I249" s="191"/>
      <c r="J249" s="191"/>
      <c r="K249" s="191"/>
      <c r="L249" s="191"/>
      <c r="M249" s="191"/>
      <c r="N249" s="49"/>
    </row>
    <row r="250" spans="1:31" s="38" customFormat="1" ht="16.5" customHeight="1" x14ac:dyDescent="0.25">
      <c r="A250" s="1592" t="s">
        <v>186</v>
      </c>
      <c r="B250" s="1592"/>
      <c r="C250" s="1592"/>
      <c r="D250" s="191"/>
      <c r="E250" s="191"/>
      <c r="F250" s="191"/>
      <c r="G250" s="191"/>
      <c r="H250" s="191"/>
      <c r="I250" s="191"/>
      <c r="J250" s="191"/>
      <c r="K250" s="191"/>
      <c r="L250" s="191"/>
      <c r="M250" s="191"/>
      <c r="N250" s="49"/>
    </row>
    <row r="251" spans="1:31" s="38" customFormat="1" ht="16.5" customHeight="1" x14ac:dyDescent="0.25">
      <c r="A251" s="191"/>
      <c r="B251" s="191"/>
      <c r="C251" s="191"/>
      <c r="D251" s="191"/>
      <c r="E251" s="191"/>
      <c r="F251" s="191"/>
      <c r="G251" s="191"/>
      <c r="H251" s="191"/>
      <c r="I251" s="191"/>
      <c r="J251" s="191"/>
      <c r="K251" s="191"/>
      <c r="L251" s="191"/>
      <c r="M251" s="191"/>
      <c r="N251" s="49"/>
    </row>
    <row r="252" spans="1:31" s="38" customFormat="1" ht="18" customHeight="1" x14ac:dyDescent="0.25">
      <c r="A252" s="191"/>
      <c r="B252" s="1582" t="s">
        <v>1739</v>
      </c>
      <c r="C252" s="1583"/>
      <c r="D252" s="1583"/>
      <c r="E252" s="1583"/>
      <c r="F252" s="1583"/>
      <c r="G252" s="934" t="s">
        <v>1737</v>
      </c>
      <c r="H252" s="1589" t="s">
        <v>1738</v>
      </c>
      <c r="I252" s="1590"/>
      <c r="J252" s="191"/>
      <c r="K252" s="191"/>
      <c r="L252" s="191"/>
      <c r="M252" s="191"/>
      <c r="N252" s="49"/>
    </row>
    <row r="253" spans="1:31" s="38" customFormat="1" ht="24" customHeight="1" x14ac:dyDescent="0.25">
      <c r="A253" s="191"/>
      <c r="B253" s="1576" t="s">
        <v>1119</v>
      </c>
      <c r="C253" s="1577"/>
      <c r="D253" s="1577"/>
      <c r="E253" s="1577"/>
      <c r="F253" s="1578"/>
      <c r="G253" s="471" t="s">
        <v>124</v>
      </c>
      <c r="H253" s="1587"/>
      <c r="I253" s="1588"/>
      <c r="J253" s="191"/>
      <c r="K253" s="191"/>
      <c r="L253" s="191"/>
      <c r="M253" s="191"/>
      <c r="N253" s="49"/>
    </row>
    <row r="254" spans="1:31" s="38" customFormat="1" ht="24" customHeight="1" x14ac:dyDescent="0.25">
      <c r="A254" s="191"/>
      <c r="B254" s="1576" t="s">
        <v>1120</v>
      </c>
      <c r="C254" s="1577"/>
      <c r="D254" s="1577"/>
      <c r="E254" s="1577"/>
      <c r="F254" s="1578"/>
      <c r="G254" s="471" t="s">
        <v>124</v>
      </c>
      <c r="H254" s="1587"/>
      <c r="I254" s="1588"/>
      <c r="J254" s="191"/>
      <c r="K254" s="191"/>
      <c r="L254" s="191"/>
      <c r="M254" s="191"/>
      <c r="N254" s="49"/>
    </row>
    <row r="255" spans="1:31" s="38" customFormat="1" ht="18" customHeight="1" x14ac:dyDescent="0.25">
      <c r="A255" s="191"/>
      <c r="B255" s="191"/>
      <c r="C255" s="191"/>
      <c r="D255" s="191"/>
      <c r="E255" s="191"/>
      <c r="F255" s="191"/>
      <c r="G255" s="191"/>
      <c r="H255" s="191"/>
      <c r="I255" s="191"/>
      <c r="J255" s="191"/>
      <c r="K255" s="191"/>
      <c r="L255" s="191"/>
      <c r="M255" s="191"/>
      <c r="N255" s="49"/>
    </row>
    <row r="256" spans="1:31" s="38" customFormat="1" ht="16.5" customHeight="1" x14ac:dyDescent="0.25">
      <c r="A256" s="1592" t="s">
        <v>22</v>
      </c>
      <c r="B256" s="1592"/>
      <c r="C256" s="1592"/>
      <c r="D256" s="191"/>
      <c r="E256" s="191"/>
      <c r="F256" s="191"/>
      <c r="G256" s="191"/>
      <c r="H256" s="191"/>
      <c r="I256" s="191"/>
      <c r="J256" s="191"/>
      <c r="K256" s="191"/>
      <c r="L256" s="191"/>
      <c r="M256" s="191"/>
      <c r="N256" s="49"/>
    </row>
    <row r="257" spans="1:14" s="38" customFormat="1" ht="16.5" customHeight="1" x14ac:dyDescent="0.25">
      <c r="A257" s="191"/>
      <c r="B257" s="191"/>
      <c r="C257" s="191"/>
      <c r="D257" s="191"/>
      <c r="E257" s="191"/>
      <c r="F257" s="191"/>
      <c r="G257" s="191"/>
      <c r="H257" s="191"/>
      <c r="I257" s="191"/>
      <c r="J257" s="191"/>
      <c r="K257" s="191"/>
      <c r="L257" s="191"/>
      <c r="M257" s="191"/>
      <c r="N257" s="49"/>
    </row>
    <row r="258" spans="1:14" s="38" customFormat="1" ht="18" customHeight="1" x14ac:dyDescent="0.25">
      <c r="A258" s="191"/>
      <c r="B258" s="171" t="s">
        <v>53</v>
      </c>
      <c r="C258" s="1328" t="str">
        <f>IF($D$11="Performance Path",IF(D248="",0,IF(D248&gt;=0.2,2,IF(D248&gt;=0.1,1,0))),"/")</f>
        <v>/</v>
      </c>
      <c r="D258" s="191"/>
      <c r="E258" s="191"/>
      <c r="F258" s="191"/>
      <c r="G258" s="191"/>
      <c r="H258" s="191"/>
      <c r="I258" s="191"/>
      <c r="J258" s="191"/>
      <c r="K258" s="191"/>
      <c r="L258" s="191"/>
      <c r="M258" s="191"/>
      <c r="N258" s="49"/>
    </row>
    <row r="259" spans="1:14" s="38" customFormat="1" ht="18" customHeight="1" x14ac:dyDescent="0.25">
      <c r="A259" s="191"/>
      <c r="B259" s="171" t="s">
        <v>492</v>
      </c>
      <c r="C259" s="1328" t="str">
        <f>IF($D$11="Performance Path",IF(AND(G253="Submitted",G254="Submitted",C258&gt;0),"Yes","No"),"/")</f>
        <v>/</v>
      </c>
      <c r="D259" s="191"/>
      <c r="E259" s="191"/>
      <c r="F259" s="191"/>
      <c r="G259" s="191"/>
      <c r="H259" s="191"/>
      <c r="I259" s="191"/>
      <c r="J259" s="191"/>
      <c r="K259" s="191"/>
      <c r="L259" s="191"/>
      <c r="M259" s="191"/>
      <c r="N259" s="49"/>
    </row>
    <row r="260" spans="1:14" s="38" customFormat="1" ht="19.5" customHeight="1" x14ac:dyDescent="0.25">
      <c r="A260" s="191"/>
      <c r="B260" s="191"/>
      <c r="C260" s="191"/>
      <c r="D260" s="191"/>
      <c r="E260" s="191"/>
      <c r="F260" s="191"/>
      <c r="G260" s="191"/>
      <c r="H260" s="191"/>
      <c r="I260" s="191"/>
      <c r="J260" s="191"/>
      <c r="K260" s="191"/>
      <c r="L260" s="191"/>
      <c r="M260" s="191"/>
      <c r="N260" s="49"/>
    </row>
    <row r="261" spans="1:14" s="38" customFormat="1" ht="18" customHeight="1" x14ac:dyDescent="0.25">
      <c r="A261" s="1592" t="s">
        <v>853</v>
      </c>
      <c r="B261" s="1592"/>
      <c r="C261" s="1592"/>
      <c r="D261" s="1592"/>
      <c r="E261" s="1592"/>
      <c r="F261" s="1592"/>
      <c r="G261" s="1592"/>
      <c r="H261" s="1592"/>
      <c r="I261" s="1592"/>
      <c r="J261" s="1592"/>
      <c r="K261" s="1592"/>
      <c r="L261" s="1592"/>
      <c r="M261" s="1592"/>
      <c r="N261" s="49"/>
    </row>
    <row r="262" spans="1:14" s="38" customFormat="1" ht="16.5" customHeight="1" x14ac:dyDescent="0.25">
      <c r="A262" s="191"/>
      <c r="B262" s="191"/>
      <c r="C262" s="191"/>
      <c r="D262" s="191"/>
      <c r="E262" s="191"/>
      <c r="F262" s="191"/>
      <c r="G262" s="191"/>
      <c r="H262" s="191"/>
      <c r="I262" s="191"/>
      <c r="J262" s="191"/>
      <c r="K262" s="191"/>
      <c r="L262" s="191"/>
      <c r="M262" s="191"/>
      <c r="N262" s="49"/>
    </row>
    <row r="263" spans="1:14" s="38" customFormat="1" ht="16.5" customHeight="1" x14ac:dyDescent="0.25">
      <c r="A263" s="1592" t="s">
        <v>245</v>
      </c>
      <c r="B263" s="1592"/>
      <c r="C263" s="1592"/>
      <c r="D263" s="191"/>
      <c r="E263" s="191"/>
      <c r="F263" s="191"/>
      <c r="G263" s="191"/>
      <c r="H263" s="191"/>
      <c r="I263" s="191"/>
      <c r="J263" s="191"/>
      <c r="K263" s="191"/>
      <c r="L263" s="191"/>
      <c r="M263" s="191"/>
      <c r="N263" s="49"/>
    </row>
    <row r="264" spans="1:14" s="38" customFormat="1" ht="16.5" customHeight="1" x14ac:dyDescent="0.25">
      <c r="A264" s="191"/>
      <c r="B264" s="191"/>
      <c r="C264" s="191"/>
      <c r="D264" s="191"/>
      <c r="E264" s="191"/>
      <c r="F264" s="191"/>
      <c r="G264" s="191"/>
      <c r="H264" s="191"/>
      <c r="I264" s="191"/>
      <c r="J264" s="191"/>
      <c r="K264" s="191"/>
      <c r="L264" s="191"/>
      <c r="M264" s="191"/>
      <c r="N264" s="49"/>
    </row>
    <row r="265" spans="1:14" s="38" customFormat="1" ht="16.5" customHeight="1" x14ac:dyDescent="0.25">
      <c r="A265" s="388"/>
      <c r="B265" s="1641" t="s">
        <v>1292</v>
      </c>
      <c r="C265" s="1642"/>
      <c r="D265" s="1642"/>
      <c r="E265" s="1642"/>
      <c r="F265" s="1642"/>
      <c r="G265" s="1643"/>
      <c r="H265" s="388"/>
      <c r="I265" s="388"/>
      <c r="J265" s="388"/>
      <c r="K265" s="388"/>
      <c r="L265" s="388"/>
      <c r="M265" s="388"/>
      <c r="N265" s="49"/>
    </row>
    <row r="266" spans="1:14" s="38" customFormat="1" ht="16.5" customHeight="1" x14ac:dyDescent="0.25">
      <c r="A266" s="388"/>
      <c r="B266" s="1631" t="s">
        <v>1291</v>
      </c>
      <c r="C266" s="1632"/>
      <c r="D266" s="1632"/>
      <c r="E266" s="1632"/>
      <c r="F266" s="1632"/>
      <c r="G266" s="1633"/>
      <c r="H266" s="388"/>
      <c r="I266" s="388"/>
      <c r="J266" s="388"/>
      <c r="K266" s="388"/>
      <c r="L266" s="388"/>
      <c r="M266" s="388"/>
      <c r="N266" s="49"/>
    </row>
    <row r="267" spans="1:14" s="38" customFormat="1" ht="16.5" customHeight="1" x14ac:dyDescent="0.25">
      <c r="A267" s="388"/>
      <c r="B267" s="1625" t="s">
        <v>1293</v>
      </c>
      <c r="C267" s="1626"/>
      <c r="D267" s="1626"/>
      <c r="E267" s="1626"/>
      <c r="F267" s="1626"/>
      <c r="G267" s="1627"/>
      <c r="H267" s="388"/>
      <c r="I267" s="388"/>
      <c r="J267" s="388"/>
      <c r="K267" s="388"/>
      <c r="L267" s="388"/>
      <c r="M267" s="388"/>
      <c r="N267" s="49"/>
    </row>
    <row r="268" spans="1:14" s="38" customFormat="1" ht="16.5" customHeight="1" x14ac:dyDescent="0.25">
      <c r="A268" s="388"/>
      <c r="B268" s="1625" t="s">
        <v>1294</v>
      </c>
      <c r="C268" s="1626"/>
      <c r="D268" s="1626"/>
      <c r="E268" s="1626"/>
      <c r="F268" s="1626"/>
      <c r="G268" s="1627"/>
      <c r="H268" s="388"/>
      <c r="I268" s="388"/>
      <c r="J268" s="388"/>
      <c r="K268" s="388"/>
      <c r="L268" s="388"/>
      <c r="M268" s="388"/>
      <c r="N268" s="49"/>
    </row>
    <row r="269" spans="1:14" s="38" customFormat="1" ht="16.5" customHeight="1" x14ac:dyDescent="0.25">
      <c r="A269" s="388"/>
      <c r="B269" s="1625" t="s">
        <v>1295</v>
      </c>
      <c r="C269" s="1626"/>
      <c r="D269" s="1626"/>
      <c r="E269" s="1626"/>
      <c r="F269" s="1626"/>
      <c r="G269" s="1627"/>
      <c r="H269" s="388"/>
      <c r="I269" s="388"/>
      <c r="J269" s="388"/>
      <c r="K269" s="388"/>
      <c r="L269" s="388"/>
      <c r="M269" s="388"/>
      <c r="N269" s="49"/>
    </row>
    <row r="270" spans="1:14" s="38" customFormat="1" ht="16.5" customHeight="1" x14ac:dyDescent="0.25">
      <c r="A270" s="388"/>
      <c r="B270" s="1628" t="s">
        <v>1296</v>
      </c>
      <c r="C270" s="1629"/>
      <c r="D270" s="1629"/>
      <c r="E270" s="1629"/>
      <c r="F270" s="1629"/>
      <c r="G270" s="1630"/>
      <c r="H270" s="388"/>
      <c r="I270" s="388"/>
      <c r="J270" s="388"/>
      <c r="K270" s="388"/>
      <c r="L270" s="388"/>
      <c r="M270" s="388"/>
      <c r="N270" s="49"/>
    </row>
    <row r="271" spans="1:14" s="38" customFormat="1" ht="16.5" customHeight="1" x14ac:dyDescent="0.25">
      <c r="A271" s="388"/>
      <c r="B271" s="1631" t="s">
        <v>1300</v>
      </c>
      <c r="C271" s="1632"/>
      <c r="D271" s="1632"/>
      <c r="E271" s="1632"/>
      <c r="F271" s="1632"/>
      <c r="G271" s="1633"/>
      <c r="H271" s="388"/>
      <c r="I271" s="388"/>
      <c r="J271" s="388"/>
      <c r="K271" s="388"/>
      <c r="L271" s="388"/>
      <c r="M271" s="388"/>
      <c r="N271" s="49"/>
    </row>
    <row r="272" spans="1:14" s="38" customFormat="1" ht="16.5" customHeight="1" x14ac:dyDescent="0.25">
      <c r="A272" s="388"/>
      <c r="B272" s="1625" t="s">
        <v>1297</v>
      </c>
      <c r="C272" s="1626"/>
      <c r="D272" s="1626"/>
      <c r="E272" s="1626"/>
      <c r="F272" s="1626"/>
      <c r="G272" s="1627"/>
      <c r="H272" s="388"/>
      <c r="I272" s="388"/>
      <c r="J272" s="388"/>
      <c r="K272" s="388"/>
      <c r="L272" s="388"/>
      <c r="M272" s="388"/>
      <c r="N272" s="49"/>
    </row>
    <row r="273" spans="1:15" s="38" customFormat="1" ht="16.5" customHeight="1" x14ac:dyDescent="0.25">
      <c r="A273" s="388"/>
      <c r="B273" s="1625" t="s">
        <v>1298</v>
      </c>
      <c r="C273" s="1626"/>
      <c r="D273" s="1626"/>
      <c r="E273" s="1626"/>
      <c r="F273" s="1626"/>
      <c r="G273" s="1627"/>
      <c r="H273" s="388"/>
      <c r="I273" s="388"/>
      <c r="J273" s="388"/>
      <c r="K273" s="388"/>
      <c r="L273" s="388"/>
      <c r="M273" s="388"/>
      <c r="N273" s="49"/>
    </row>
    <row r="274" spans="1:15" s="38" customFormat="1" ht="16.5" customHeight="1" x14ac:dyDescent="0.25">
      <c r="A274" s="388"/>
      <c r="B274" s="1634" t="s">
        <v>1299</v>
      </c>
      <c r="C274" s="1635"/>
      <c r="D274" s="1635"/>
      <c r="E274" s="1635"/>
      <c r="F274" s="1635"/>
      <c r="G274" s="1636"/>
      <c r="H274" s="388"/>
      <c r="I274" s="388"/>
      <c r="J274" s="388"/>
      <c r="K274" s="388"/>
      <c r="L274" s="388"/>
      <c r="M274" s="388"/>
      <c r="N274" s="49"/>
    </row>
    <row r="275" spans="1:15" s="38" customFormat="1" ht="16.5" customHeight="1" x14ac:dyDescent="0.25">
      <c r="A275" s="388"/>
      <c r="B275" s="388"/>
      <c r="C275" s="388"/>
      <c r="D275" s="388"/>
      <c r="E275" s="388"/>
      <c r="F275" s="388"/>
      <c r="G275" s="388"/>
      <c r="H275" s="388"/>
      <c r="I275" s="388"/>
      <c r="J275" s="388"/>
      <c r="K275" s="388"/>
      <c r="L275" s="388"/>
      <c r="M275" s="388"/>
      <c r="N275" s="49"/>
    </row>
    <row r="276" spans="1:15" s="38" customFormat="1" ht="16.5" customHeight="1" x14ac:dyDescent="0.25">
      <c r="A276" s="388"/>
      <c r="B276" s="821" t="s">
        <v>1301</v>
      </c>
      <c r="C276" s="388"/>
      <c r="D276" s="388"/>
      <c r="E276" s="388"/>
      <c r="F276" s="388"/>
      <c r="G276" s="388"/>
      <c r="H276" s="388"/>
      <c r="I276" s="388"/>
      <c r="J276" s="388"/>
      <c r="K276" s="388"/>
      <c r="L276" s="388"/>
      <c r="M276" s="388"/>
      <c r="N276" s="49"/>
    </row>
    <row r="277" spans="1:15" s="38" customFormat="1" ht="16.5" customHeight="1" x14ac:dyDescent="0.25">
      <c r="A277" s="388"/>
      <c r="B277" s="388"/>
      <c r="C277" s="388"/>
      <c r="D277" s="388"/>
      <c r="E277" s="388"/>
      <c r="F277" s="388"/>
      <c r="G277" s="388"/>
      <c r="H277" s="388"/>
      <c r="I277" s="388"/>
      <c r="J277" s="388"/>
      <c r="K277" s="388"/>
      <c r="L277" s="388"/>
      <c r="M277" s="388"/>
      <c r="N277" s="49"/>
    </row>
    <row r="278" spans="1:15" s="38" customFormat="1" ht="16.5" customHeight="1" x14ac:dyDescent="0.25">
      <c r="A278" s="388"/>
      <c r="B278" s="820" t="s">
        <v>1302</v>
      </c>
      <c r="C278" s="388"/>
      <c r="D278" s="388"/>
      <c r="E278" s="388"/>
      <c r="F278" s="388"/>
      <c r="G278" s="388"/>
      <c r="H278" s="388"/>
      <c r="I278" s="388"/>
      <c r="J278" s="388"/>
      <c r="K278" s="388"/>
      <c r="L278" s="388"/>
      <c r="M278" s="388"/>
      <c r="N278" s="49"/>
    </row>
    <row r="279" spans="1:15" s="38" customFormat="1" ht="12.75" customHeight="1" x14ac:dyDescent="0.25">
      <c r="A279" s="191"/>
      <c r="B279" s="191"/>
      <c r="C279" s="191"/>
      <c r="D279" s="191"/>
      <c r="E279" s="191"/>
      <c r="F279" s="191"/>
      <c r="G279" s="191"/>
      <c r="H279" s="191"/>
      <c r="I279" s="191"/>
      <c r="J279" s="191"/>
      <c r="K279" s="191"/>
      <c r="L279" s="191"/>
      <c r="M279" s="191"/>
      <c r="N279" s="49"/>
    </row>
    <row r="280" spans="1:15" s="38" customFormat="1" ht="16.5" customHeight="1" x14ac:dyDescent="0.25">
      <c r="A280" s="191"/>
      <c r="B280" s="387" t="s">
        <v>849</v>
      </c>
      <c r="C280" s="388"/>
      <c r="D280" s="388"/>
      <c r="E280" s="191"/>
      <c r="F280" s="191"/>
      <c r="G280" s="387" t="s">
        <v>850</v>
      </c>
      <c r="H280" s="388"/>
      <c r="I280" s="388"/>
      <c r="J280" s="388"/>
      <c r="K280" s="388"/>
      <c r="L280" s="191"/>
      <c r="M280" s="191"/>
      <c r="N280" s="49"/>
    </row>
    <row r="281" spans="1:15" s="38" customFormat="1" ht="17.25" customHeight="1" x14ac:dyDescent="0.25">
      <c r="A281" s="191"/>
      <c r="B281" s="891" t="s">
        <v>1591</v>
      </c>
      <c r="C281" s="372" t="s">
        <v>40</v>
      </c>
      <c r="D281" s="372" t="s">
        <v>1593</v>
      </c>
      <c r="E281" s="373" t="s">
        <v>43</v>
      </c>
      <c r="F281" s="191"/>
      <c r="G281" s="891" t="s">
        <v>1592</v>
      </c>
      <c r="H281" s="892" t="s">
        <v>40</v>
      </c>
      <c r="I281" s="1599" t="s">
        <v>1593</v>
      </c>
      <c r="J281" s="1599"/>
      <c r="K281" s="1599" t="s">
        <v>43</v>
      </c>
      <c r="L281" s="1666"/>
      <c r="M281" s="191"/>
      <c r="N281" s="49"/>
    </row>
    <row r="282" spans="1:15" s="38" customFormat="1" ht="16.5" customHeight="1" x14ac:dyDescent="0.25">
      <c r="A282" s="191"/>
      <c r="B282" s="894"/>
      <c r="C282" s="515"/>
      <c r="D282" s="894" t="s">
        <v>124</v>
      </c>
      <c r="E282" s="370">
        <f>IF(AND(D282&lt;&gt;"No",D282&lt;&gt;"Select"),C282,0)</f>
        <v>0</v>
      </c>
      <c r="F282" s="191"/>
      <c r="G282" s="894"/>
      <c r="H282" s="893"/>
      <c r="I282" s="1637" t="s">
        <v>124</v>
      </c>
      <c r="J282" s="1637"/>
      <c r="K282" s="1663">
        <f>IF(AND(I282&lt;&gt;"No",I282&lt;&gt;"Select"),H282,0)</f>
        <v>0</v>
      </c>
      <c r="L282" s="1663"/>
      <c r="M282" s="191"/>
      <c r="N282" s="49"/>
      <c r="O282" s="38" t="str">
        <f>IF(D282="solar reflectivity &gt; 0.7","Yes",IF(I282="solar reflectivity &gt; 0.4","Yes","No"))</f>
        <v>No</v>
      </c>
    </row>
    <row r="283" spans="1:15" s="38" customFormat="1" ht="16.5" customHeight="1" x14ac:dyDescent="0.25">
      <c r="A283" s="191"/>
      <c r="B283" s="894"/>
      <c r="C283" s="514"/>
      <c r="D283" s="894" t="s">
        <v>124</v>
      </c>
      <c r="E283" s="267">
        <f>IF(AND(D283&lt;&gt;"No",D283&lt;&gt;"Select"),C283,0)</f>
        <v>0</v>
      </c>
      <c r="F283" s="191"/>
      <c r="G283" s="894"/>
      <c r="H283" s="893"/>
      <c r="I283" s="1637" t="s">
        <v>124</v>
      </c>
      <c r="J283" s="1637"/>
      <c r="K283" s="1663">
        <f>IF(AND(I283&lt;&gt;"No",I283&lt;&gt;"Select"),H283,0)</f>
        <v>0</v>
      </c>
      <c r="L283" s="1663"/>
      <c r="M283" s="191"/>
      <c r="N283" s="49"/>
      <c r="O283" s="38" t="str">
        <f>IF(D283="solar reflectivity &gt; 0.7","Yes",IF(I283="solar reflectivity &gt; 0.4","Yes","No"))</f>
        <v>No</v>
      </c>
    </row>
    <row r="284" spans="1:15" s="38" customFormat="1" ht="16.5" customHeight="1" x14ac:dyDescent="0.25">
      <c r="A284" s="191"/>
      <c r="B284" s="894"/>
      <c r="C284" s="514"/>
      <c r="D284" s="894" t="s">
        <v>124</v>
      </c>
      <c r="E284" s="267">
        <f>IF(AND(D284&lt;&gt;"No",D284&lt;&gt;"Select"),C284,0)</f>
        <v>0</v>
      </c>
      <c r="F284" s="191"/>
      <c r="G284" s="894"/>
      <c r="H284" s="893"/>
      <c r="I284" s="1637" t="s">
        <v>124</v>
      </c>
      <c r="J284" s="1637"/>
      <c r="K284" s="1663">
        <f>IF(AND(I284&lt;&gt;"No",I284&lt;&gt;"Select"),H284,0)</f>
        <v>0</v>
      </c>
      <c r="L284" s="1663"/>
      <c r="M284" s="191"/>
      <c r="N284" s="49"/>
      <c r="O284" s="38" t="str">
        <f>IF(D284="solar reflectivity &gt; 0.7","Yes",IF(I284="solar reflectivity &gt; 0.4","Yes","No"))</f>
        <v>No</v>
      </c>
    </row>
    <row r="285" spans="1:15" s="38" customFormat="1" ht="16.5" customHeight="1" x14ac:dyDescent="0.25">
      <c r="A285" s="191"/>
      <c r="B285" s="894"/>
      <c r="C285" s="514"/>
      <c r="D285" s="894" t="s">
        <v>124</v>
      </c>
      <c r="E285" s="267">
        <f>IF(AND(D285&lt;&gt;"No",D285&lt;&gt;"Select"),C285,0)</f>
        <v>0</v>
      </c>
      <c r="F285" s="191"/>
      <c r="G285" s="894"/>
      <c r="H285" s="893"/>
      <c r="I285" s="1637" t="s">
        <v>124</v>
      </c>
      <c r="J285" s="1637"/>
      <c r="K285" s="1663">
        <f>IF(AND(I285&lt;&gt;"No",I285&lt;&gt;"Select"),H285,0)</f>
        <v>0</v>
      </c>
      <c r="L285" s="1663"/>
      <c r="M285" s="191"/>
      <c r="N285" s="49"/>
      <c r="O285" s="38" t="str">
        <f>IF(D285="solar reflectivity &gt; 0.7","Yes",IF(I285="solar reflectivity &gt; 0.4","Yes","No"))</f>
        <v>No</v>
      </c>
    </row>
    <row r="286" spans="1:15" s="38" customFormat="1" ht="16.5" customHeight="1" x14ac:dyDescent="0.25">
      <c r="A286" s="191"/>
      <c r="B286" s="894"/>
      <c r="C286" s="514"/>
      <c r="D286" s="894" t="s">
        <v>124</v>
      </c>
      <c r="E286" s="267">
        <f>IF(AND(D286&lt;&gt;"No",D286&lt;&gt;"Select"),C286,0)</f>
        <v>0</v>
      </c>
      <c r="F286" s="191"/>
      <c r="G286" s="894"/>
      <c r="H286" s="893"/>
      <c r="I286" s="1637" t="s">
        <v>124</v>
      </c>
      <c r="J286" s="1637"/>
      <c r="K286" s="1663">
        <f>IF(AND(I286&lt;&gt;"No",I286&lt;&gt;"Select"),H286,0)</f>
        <v>0</v>
      </c>
      <c r="L286" s="1663"/>
      <c r="M286" s="191"/>
      <c r="N286" s="49"/>
      <c r="O286" s="38" t="str">
        <f>IF(D286="solar reflectivity &gt; 0.7","Yes",IF(I286="solar reflectivity &gt; 0.4","Yes","No"))</f>
        <v>No</v>
      </c>
    </row>
    <row r="287" spans="1:15" s="38" customFormat="1" ht="16.5" customHeight="1" x14ac:dyDescent="0.25">
      <c r="A287" s="191"/>
      <c r="B287" s="191"/>
      <c r="C287" s="376">
        <f>SUM(C282:C286)</f>
        <v>0</v>
      </c>
      <c r="D287" s="191"/>
      <c r="E287" s="376">
        <f>SUM(E282:E286)</f>
        <v>0</v>
      </c>
      <c r="F287" s="191"/>
      <c r="G287" s="191"/>
      <c r="H287" s="376">
        <f>SUM(H282:H286)</f>
        <v>0</v>
      </c>
      <c r="I287" s="191"/>
      <c r="J287" s="191"/>
      <c r="K287" s="1664">
        <f>SUM(K282:L286)</f>
        <v>0</v>
      </c>
      <c r="L287" s="1665"/>
      <c r="M287" s="191"/>
      <c r="N287" s="49"/>
    </row>
    <row r="288" spans="1:15" s="38" customFormat="1" ht="16.5" customHeight="1" x14ac:dyDescent="0.25">
      <c r="A288" s="191"/>
      <c r="B288" s="191"/>
      <c r="C288" s="191"/>
      <c r="D288" s="191"/>
      <c r="E288" s="191"/>
      <c r="F288" s="191"/>
      <c r="G288" s="191"/>
      <c r="H288" s="191"/>
      <c r="I288" s="191"/>
      <c r="J288" s="191"/>
      <c r="K288" s="191"/>
      <c r="L288" s="191"/>
      <c r="M288" s="191"/>
      <c r="N288" s="49"/>
    </row>
    <row r="289" spans="1:31" s="38" customFormat="1" ht="18" customHeight="1" x14ac:dyDescent="0.25">
      <c r="A289" s="191"/>
      <c r="B289" s="1623" t="s">
        <v>851</v>
      </c>
      <c r="C289" s="1623"/>
      <c r="D289" s="377">
        <f>IFERROR(E287/C287,0)</f>
        <v>0</v>
      </c>
      <c r="E289" s="191"/>
      <c r="F289" s="191"/>
      <c r="G289" s="1623" t="s">
        <v>852</v>
      </c>
      <c r="H289" s="1623"/>
      <c r="I289" s="1624">
        <f>IFERROR(K287/H287,0)</f>
        <v>0</v>
      </c>
      <c r="J289" s="1624"/>
      <c r="K289" s="191"/>
      <c r="L289" s="191"/>
      <c r="M289" s="191"/>
      <c r="N289" s="49"/>
    </row>
    <row r="290" spans="1:31" s="38" customFormat="1" ht="18.75" customHeight="1" x14ac:dyDescent="0.25">
      <c r="A290" s="191"/>
      <c r="B290" s="191"/>
      <c r="C290" s="191"/>
      <c r="D290" s="191"/>
      <c r="E290" s="191"/>
      <c r="F290" s="191"/>
      <c r="G290" s="191"/>
      <c r="H290" s="191"/>
      <c r="I290" s="191"/>
      <c r="J290" s="191"/>
      <c r="K290" s="191"/>
      <c r="L290" s="191"/>
      <c r="M290" s="191"/>
      <c r="N290" s="49"/>
    </row>
    <row r="291" spans="1:31" s="38" customFormat="1" ht="16.5" customHeight="1" x14ac:dyDescent="0.25">
      <c r="A291" s="1592" t="s">
        <v>186</v>
      </c>
      <c r="B291" s="1592"/>
      <c r="C291" s="1592"/>
      <c r="D291" s="191"/>
      <c r="E291" s="191"/>
      <c r="F291" s="191"/>
      <c r="G291" s="191"/>
      <c r="H291" s="191"/>
      <c r="I291" s="191"/>
      <c r="J291" s="191"/>
      <c r="K291" s="191"/>
      <c r="L291" s="191"/>
      <c r="M291" s="191"/>
      <c r="N291" s="49"/>
    </row>
    <row r="292" spans="1:31" s="38" customFormat="1" x14ac:dyDescent="0.25">
      <c r="A292" s="191"/>
      <c r="B292" s="191"/>
      <c r="C292" s="191"/>
      <c r="D292" s="191"/>
      <c r="E292" s="191"/>
      <c r="F292" s="191"/>
      <c r="G292" s="191"/>
      <c r="H292" s="191"/>
      <c r="I292" s="191"/>
      <c r="J292" s="191"/>
      <c r="K292" s="191"/>
      <c r="L292" s="191"/>
      <c r="M292" s="191"/>
      <c r="N292" s="49"/>
    </row>
    <row r="293" spans="1:31" s="38" customFormat="1" ht="18" customHeight="1" x14ac:dyDescent="0.25">
      <c r="A293" s="191"/>
      <c r="B293" s="1582" t="s">
        <v>1739</v>
      </c>
      <c r="C293" s="1583"/>
      <c r="D293" s="1583"/>
      <c r="E293" s="1583"/>
      <c r="F293" s="1583"/>
      <c r="G293" s="934" t="s">
        <v>1737</v>
      </c>
      <c r="H293" s="1589" t="s">
        <v>1738</v>
      </c>
      <c r="I293" s="1590"/>
      <c r="J293" s="191"/>
      <c r="K293" s="191"/>
      <c r="L293" s="191"/>
      <c r="M293" s="191"/>
      <c r="N293" s="49"/>
    </row>
    <row r="294" spans="1:31" s="38" customFormat="1" ht="24" customHeight="1" x14ac:dyDescent="0.25">
      <c r="A294" s="191"/>
      <c r="B294" s="1576" t="s">
        <v>1115</v>
      </c>
      <c r="C294" s="1577"/>
      <c r="D294" s="1577"/>
      <c r="E294" s="1577"/>
      <c r="F294" s="1578"/>
      <c r="G294" s="471" t="s">
        <v>124</v>
      </c>
      <c r="H294" s="1587"/>
      <c r="I294" s="1588"/>
      <c r="J294" s="191"/>
      <c r="K294" s="191"/>
      <c r="L294" s="191"/>
      <c r="M294" s="191"/>
      <c r="N294" s="49"/>
    </row>
    <row r="295" spans="1:31" s="38" customFormat="1" ht="24" customHeight="1" x14ac:dyDescent="0.25">
      <c r="A295" s="191"/>
      <c r="B295" s="1576" t="s">
        <v>1116</v>
      </c>
      <c r="C295" s="1577"/>
      <c r="D295" s="1577"/>
      <c r="E295" s="1577"/>
      <c r="F295" s="1578"/>
      <c r="G295" s="471" t="s">
        <v>124</v>
      </c>
      <c r="H295" s="1587"/>
      <c r="I295" s="1588"/>
      <c r="J295" s="191"/>
      <c r="K295" s="191"/>
      <c r="L295" s="191"/>
      <c r="M295" s="191"/>
      <c r="N295" s="49"/>
    </row>
    <row r="296" spans="1:31" s="38" customFormat="1" ht="18" customHeight="1" x14ac:dyDescent="0.25">
      <c r="A296" s="191"/>
      <c r="B296" s="191"/>
      <c r="C296" s="191"/>
      <c r="D296" s="191"/>
      <c r="E296" s="191"/>
      <c r="F296" s="191"/>
      <c r="G296" s="191"/>
      <c r="H296" s="191"/>
      <c r="I296" s="191"/>
      <c r="J296" s="191"/>
      <c r="K296" s="191"/>
      <c r="L296" s="191"/>
      <c r="M296" s="191"/>
      <c r="N296" s="49"/>
    </row>
    <row r="297" spans="1:31" s="38" customFormat="1" ht="16.5" customHeight="1" x14ac:dyDescent="0.25">
      <c r="A297" s="1592" t="s">
        <v>22</v>
      </c>
      <c r="B297" s="1592"/>
      <c r="C297" s="1592"/>
      <c r="D297" s="191"/>
      <c r="E297" s="191"/>
      <c r="F297" s="191"/>
      <c r="G297" s="191"/>
      <c r="H297" s="191"/>
      <c r="I297" s="191"/>
      <c r="J297" s="191"/>
      <c r="K297" s="191"/>
      <c r="L297" s="191"/>
      <c r="M297" s="191"/>
      <c r="N297" s="49"/>
    </row>
    <row r="298" spans="1:31" s="38" customFormat="1" ht="16.5" customHeight="1" x14ac:dyDescent="0.25">
      <c r="A298" s="191"/>
      <c r="B298" s="191"/>
      <c r="C298" s="191"/>
      <c r="D298" s="191"/>
      <c r="E298" s="191"/>
      <c r="F298" s="191"/>
      <c r="G298" s="191"/>
      <c r="H298" s="191"/>
      <c r="I298" s="191"/>
      <c r="J298" s="191"/>
      <c r="K298" s="191"/>
      <c r="L298" s="191"/>
      <c r="M298" s="191"/>
      <c r="N298" s="49"/>
      <c r="V298"/>
      <c r="W298"/>
      <c r="X298"/>
      <c r="Y298"/>
      <c r="Z298"/>
      <c r="AA298"/>
      <c r="AB298"/>
      <c r="AC298"/>
      <c r="AD298"/>
      <c r="AE298"/>
    </row>
    <row r="299" spans="1:31" s="38" customFormat="1" ht="18" customHeight="1" x14ac:dyDescent="0.25">
      <c r="A299" s="191"/>
      <c r="B299" s="171" t="s">
        <v>53</v>
      </c>
      <c r="C299" s="1328" t="str">
        <f>IF($D$11="Performance Path",IF(AND(D289&gt;=0.95,I289&gt;=0.95),1,0),"/")</f>
        <v>/</v>
      </c>
      <c r="D299" s="191"/>
      <c r="E299" s="191"/>
      <c r="F299" s="191"/>
      <c r="G299" s="191"/>
      <c r="H299" s="191"/>
      <c r="I299" s="191"/>
      <c r="J299" s="191"/>
      <c r="K299" s="191"/>
      <c r="L299" s="191"/>
      <c r="M299" s="191"/>
      <c r="N299" s="49"/>
      <c r="V299"/>
      <c r="W299"/>
      <c r="X299"/>
      <c r="Y299"/>
      <c r="Z299"/>
      <c r="AA299"/>
      <c r="AB299"/>
      <c r="AC299"/>
      <c r="AD299"/>
      <c r="AE299"/>
    </row>
    <row r="300" spans="1:31" s="38" customFormat="1" ht="18" customHeight="1" x14ac:dyDescent="0.25">
      <c r="A300" s="191"/>
      <c r="B300" s="171" t="s">
        <v>492</v>
      </c>
      <c r="C300" s="1328" t="str">
        <f>IF($D$11="Performance Path",IF(COUNTIF(O282:O286,"Yes")&gt;0,IF(AND(G294="Submitted",G295="Submitted",C299&gt;0),"Yes","No"),IF(AND(G294="Submitted",C299&gt;0),"Yes","No")),"/")</f>
        <v>/</v>
      </c>
      <c r="D300" s="191"/>
      <c r="E300" s="191"/>
      <c r="F300" s="191"/>
      <c r="G300" s="191"/>
      <c r="H300" s="191"/>
      <c r="I300" s="191"/>
      <c r="J300" s="191"/>
      <c r="K300" s="191"/>
      <c r="L300" s="191"/>
      <c r="M300" s="191"/>
      <c r="N300" s="49"/>
      <c r="V300"/>
      <c r="W300"/>
      <c r="X300"/>
      <c r="Y300"/>
      <c r="Z300"/>
      <c r="AA300"/>
      <c r="AB300"/>
      <c r="AC300"/>
      <c r="AD300"/>
      <c r="AE300"/>
    </row>
    <row r="301" spans="1:31" s="38" customFormat="1" ht="16.5" customHeight="1" x14ac:dyDescent="0.25">
      <c r="A301" s="191"/>
      <c r="B301" s="191"/>
      <c r="C301" s="191"/>
      <c r="D301" s="191"/>
      <c r="E301" s="191"/>
      <c r="F301" s="191"/>
      <c r="G301" s="191"/>
      <c r="H301" s="191"/>
      <c r="I301" s="191"/>
      <c r="J301" s="191"/>
      <c r="K301" s="191"/>
      <c r="L301" s="191"/>
      <c r="M301" s="191"/>
      <c r="N301" s="49"/>
      <c r="V301"/>
      <c r="W301"/>
      <c r="X301"/>
      <c r="Y301"/>
      <c r="Z301"/>
      <c r="AA301"/>
      <c r="AB301"/>
      <c r="AC301"/>
      <c r="AD301"/>
      <c r="AE301"/>
    </row>
    <row r="302" spans="1:31" hidden="1" x14ac:dyDescent="0.25"/>
    <row r="303" spans="1:31" hidden="1" x14ac:dyDescent="0.25"/>
    <row r="304" spans="1:31"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sheetData>
  <sheetProtection algorithmName="SHA-512" hashValue="dsPKo7hzMnw/3PEht5J+biGAWO8OUjeHcONQMQMTGiXS7NrL1SpTgJpV9eXLqt7Fa2klHbi/if7lnOaCSCfAYA==" saltValue="NXCTHistRm8w5CJwZvx70A==" spinCount="100000" sheet="1" objects="1" scenarios="1"/>
  <mergeCells count="212">
    <mergeCell ref="B268:G268"/>
    <mergeCell ref="K154:L154"/>
    <mergeCell ref="I149:J149"/>
    <mergeCell ref="I150:J150"/>
    <mergeCell ref="C110:D110"/>
    <mergeCell ref="C113:D113"/>
    <mergeCell ref="E113:F113"/>
    <mergeCell ref="C114:D114"/>
    <mergeCell ref="E114:F114"/>
    <mergeCell ref="E110:F110"/>
    <mergeCell ref="I151:J151"/>
    <mergeCell ref="B121:F121"/>
    <mergeCell ref="B122:F122"/>
    <mergeCell ref="A118:C118"/>
    <mergeCell ref="A124:C124"/>
    <mergeCell ref="H161:I161"/>
    <mergeCell ref="A159:C159"/>
    <mergeCell ref="B157:C157"/>
    <mergeCell ref="B196:D196"/>
    <mergeCell ref="B183:H183"/>
    <mergeCell ref="C220:K220"/>
    <mergeCell ref="B161:F161"/>
    <mergeCell ref="H162:I162"/>
    <mergeCell ref="A261:M261"/>
    <mergeCell ref="A5:M7"/>
    <mergeCell ref="K149:L149"/>
    <mergeCell ref="B13:E13"/>
    <mergeCell ref="B14:E14"/>
    <mergeCell ref="B11:C11"/>
    <mergeCell ref="B15:E15"/>
    <mergeCell ref="B16:E16"/>
    <mergeCell ref="B17:E17"/>
    <mergeCell ref="B18:E18"/>
    <mergeCell ref="B37:F37"/>
    <mergeCell ref="B38:F38"/>
    <mergeCell ref="C44:D44"/>
    <mergeCell ref="C46:D46"/>
    <mergeCell ref="C78:D78"/>
    <mergeCell ref="E78:F78"/>
    <mergeCell ref="C80:D80"/>
    <mergeCell ref="B67:H67"/>
    <mergeCell ref="B68:H68"/>
    <mergeCell ref="B69:H69"/>
    <mergeCell ref="B71:H71"/>
    <mergeCell ref="A9:M9"/>
    <mergeCell ref="C47:D47"/>
    <mergeCell ref="E76:F76"/>
    <mergeCell ref="C77:D77"/>
    <mergeCell ref="B20:E20"/>
    <mergeCell ref="B21:E21"/>
    <mergeCell ref="B22:E22"/>
    <mergeCell ref="B23:E23"/>
    <mergeCell ref="C42:D42"/>
    <mergeCell ref="C43:D43"/>
    <mergeCell ref="E42:F42"/>
    <mergeCell ref="E43:F43"/>
    <mergeCell ref="E44:F44"/>
    <mergeCell ref="A30:M30"/>
    <mergeCell ref="A26:M26"/>
    <mergeCell ref="B24:E24"/>
    <mergeCell ref="A32:C32"/>
    <mergeCell ref="B34:F34"/>
    <mergeCell ref="B35:F35"/>
    <mergeCell ref="B36:F36"/>
    <mergeCell ref="B72:H72"/>
    <mergeCell ref="A63:M63"/>
    <mergeCell ref="B83:C83"/>
    <mergeCell ref="C79:D79"/>
    <mergeCell ref="E79:F79"/>
    <mergeCell ref="E80:F80"/>
    <mergeCell ref="C81:D81"/>
    <mergeCell ref="E81:F81"/>
    <mergeCell ref="A129:M129"/>
    <mergeCell ref="B89:F89"/>
    <mergeCell ref="B88:F88"/>
    <mergeCell ref="A96:M96"/>
    <mergeCell ref="C45:D45"/>
    <mergeCell ref="E45:F45"/>
    <mergeCell ref="B55:F55"/>
    <mergeCell ref="E47:F47"/>
    <mergeCell ref="B49:C49"/>
    <mergeCell ref="E46:F46"/>
    <mergeCell ref="B54:F54"/>
    <mergeCell ref="A65:C65"/>
    <mergeCell ref="H55:I55"/>
    <mergeCell ref="B53:F53"/>
    <mergeCell ref="H53:I53"/>
    <mergeCell ref="A51:C51"/>
    <mergeCell ref="A57:C57"/>
    <mergeCell ref="K155:L155"/>
    <mergeCell ref="I152:J152"/>
    <mergeCell ref="I153:J153"/>
    <mergeCell ref="I154:J154"/>
    <mergeCell ref="K152:L152"/>
    <mergeCell ref="K153:L153"/>
    <mergeCell ref="B133:G133"/>
    <mergeCell ref="B134:G134"/>
    <mergeCell ref="B135:G135"/>
    <mergeCell ref="B136:G136"/>
    <mergeCell ref="K150:L150"/>
    <mergeCell ref="K151:L151"/>
    <mergeCell ref="W233:Z233"/>
    <mergeCell ref="B247:C247"/>
    <mergeCell ref="B248:C248"/>
    <mergeCell ref="K286:L286"/>
    <mergeCell ref="K287:L287"/>
    <mergeCell ref="K283:L283"/>
    <mergeCell ref="K284:L284"/>
    <mergeCell ref="K285:L285"/>
    <mergeCell ref="K281:L281"/>
    <mergeCell ref="K282:L282"/>
    <mergeCell ref="B253:F253"/>
    <mergeCell ref="B254:F254"/>
    <mergeCell ref="A250:C250"/>
    <mergeCell ref="A256:C256"/>
    <mergeCell ref="I286:J286"/>
    <mergeCell ref="B252:F252"/>
    <mergeCell ref="H252:I252"/>
    <mergeCell ref="B274:G274"/>
    <mergeCell ref="B269:G269"/>
    <mergeCell ref="B272:G272"/>
    <mergeCell ref="B273:G273"/>
    <mergeCell ref="B271:G271"/>
    <mergeCell ref="B270:G270"/>
    <mergeCell ref="B267:G267"/>
    <mergeCell ref="A297:C297"/>
    <mergeCell ref="A98:C98"/>
    <mergeCell ref="B100:F100"/>
    <mergeCell ref="B101:F101"/>
    <mergeCell ref="B102:F102"/>
    <mergeCell ref="A131:C131"/>
    <mergeCell ref="A176:C176"/>
    <mergeCell ref="A211:C211"/>
    <mergeCell ref="A263:C263"/>
    <mergeCell ref="B294:F294"/>
    <mergeCell ref="B295:F295"/>
    <mergeCell ref="C111:D111"/>
    <mergeCell ref="E111:F111"/>
    <mergeCell ref="C112:D112"/>
    <mergeCell ref="E112:F112"/>
    <mergeCell ref="A174:M174"/>
    <mergeCell ref="A209:M209"/>
    <mergeCell ref="J221:K221"/>
    <mergeCell ref="B220:B221"/>
    <mergeCell ref="B219:J219"/>
    <mergeCell ref="H201:I201"/>
    <mergeCell ref="H200:I200"/>
    <mergeCell ref="B216:K217"/>
    <mergeCell ref="H294:I294"/>
    <mergeCell ref="A1:M1"/>
    <mergeCell ref="H2:K4"/>
    <mergeCell ref="H295:I295"/>
    <mergeCell ref="B293:F293"/>
    <mergeCell ref="H293:I293"/>
    <mergeCell ref="H202:I202"/>
    <mergeCell ref="H253:I253"/>
    <mergeCell ref="H254:I254"/>
    <mergeCell ref="I281:J281"/>
    <mergeCell ref="I282:J282"/>
    <mergeCell ref="B201:F201"/>
    <mergeCell ref="B202:F202"/>
    <mergeCell ref="A291:C291"/>
    <mergeCell ref="B289:C289"/>
    <mergeCell ref="G289:H289"/>
    <mergeCell ref="I289:J289"/>
    <mergeCell ref="A204:C204"/>
    <mergeCell ref="H54:I54"/>
    <mergeCell ref="I283:J283"/>
    <mergeCell ref="I284:J284"/>
    <mergeCell ref="I285:J285"/>
    <mergeCell ref="B246:C246"/>
    <mergeCell ref="B265:G265"/>
    <mergeCell ref="B266:G266"/>
    <mergeCell ref="A170:M170"/>
    <mergeCell ref="B200:F200"/>
    <mergeCell ref="J228:K228"/>
    <mergeCell ref="J229:K229"/>
    <mergeCell ref="J230:K230"/>
    <mergeCell ref="H163:I163"/>
    <mergeCell ref="J222:K222"/>
    <mergeCell ref="J223:K223"/>
    <mergeCell ref="J224:K224"/>
    <mergeCell ref="J225:K225"/>
    <mergeCell ref="J226:K226"/>
    <mergeCell ref="J227:K227"/>
    <mergeCell ref="A165:C165"/>
    <mergeCell ref="A198:C198"/>
    <mergeCell ref="B195:D195"/>
    <mergeCell ref="B162:F162"/>
    <mergeCell ref="B163:F163"/>
    <mergeCell ref="C76:D76"/>
    <mergeCell ref="B70:H70"/>
    <mergeCell ref="B116:C116"/>
    <mergeCell ref="G157:H157"/>
    <mergeCell ref="I157:J157"/>
    <mergeCell ref="H88:I88"/>
    <mergeCell ref="H89:I89"/>
    <mergeCell ref="H121:I121"/>
    <mergeCell ref="H122:I122"/>
    <mergeCell ref="B87:F87"/>
    <mergeCell ref="H87:I87"/>
    <mergeCell ref="B120:F120"/>
    <mergeCell ref="H120:I120"/>
    <mergeCell ref="B137:G137"/>
    <mergeCell ref="B138:G138"/>
    <mergeCell ref="B139:G139"/>
    <mergeCell ref="B140:G140"/>
    <mergeCell ref="B141:G141"/>
    <mergeCell ref="B142:G142"/>
    <mergeCell ref="E77:F77"/>
    <mergeCell ref="A85:C85"/>
    <mergeCell ref="A91:C91"/>
  </mergeCells>
  <dataValidations count="20">
    <dataValidation type="list" allowBlank="1" showInputMessage="1" showErrorMessage="1" sqref="D11" xr:uid="{00000000-0002-0000-0D00-000000000000}">
      <formula1>"Select,Prescriptive Path, Performance Path"</formula1>
    </dataValidation>
    <dataValidation allowBlank="1" showInputMessage="1" showErrorMessage="1" prompt="Maximum value as per QCVN 09:2013 " sqref="I234" xr:uid="{00000000-0002-0000-0D00-000001000000}"/>
    <dataValidation allowBlank="1" showInputMessage="1" showErrorMessage="1" prompt="Use Tables 2.4 and 2.5 of QCVN 09:2013 (available in the sheet 'Resources') to determine A coefficient._x000a_If there is no shading (or if the project decides not to calculate the A coefficient), value should be set to 1." sqref="G234:G244" xr:uid="{00000000-0002-0000-0D00-000002000000}"/>
    <dataValidation type="list" allowBlank="1" showInputMessage="1" showErrorMessage="1" sqref="C235:C244" xr:uid="{00000000-0002-0000-0D00-000003000000}">
      <formula1>$V$234:$AD$234</formula1>
    </dataValidation>
    <dataValidation type="list" allowBlank="1" showInputMessage="1" showErrorMessage="1" sqref="G294:G295 G54:G55 G121:G122 G162:G163 G201:G202 G253:G254 G88:G89" xr:uid="{00000000-0002-0000-0D00-000004000000}">
      <formula1>"Select,Submitted,Not submitted"</formula1>
    </dataValidation>
    <dataValidation allowBlank="1" showInputMessage="1" showErrorMessage="1" prompt="Describe the materials used in the external wall assembly" sqref="E43:E47" xr:uid="{00000000-0002-0000-0D00-000005000000}"/>
    <dataValidation allowBlank="1" showInputMessage="1" showErrorMessage="1" prompt="Describe the materials used in the roof assembly" sqref="E77:F81" xr:uid="{00000000-0002-0000-0D00-000006000000}"/>
    <dataValidation allowBlank="1" showInputMessage="1" showErrorMessage="1" prompt="Describe the type of glazing used" sqref="E111:F114" xr:uid="{00000000-0002-0000-0D00-000007000000}"/>
    <dataValidation type="list" allowBlank="1" showInputMessage="1" showErrorMessage="1" sqref="C111:D114" xr:uid="{00000000-0002-0000-0D00-000008000000}">
      <formula1>$O$110:$O$112</formula1>
    </dataValidation>
    <dataValidation allowBlank="1" showInputMessage="1" showErrorMessage="1" prompt="Enter a name for the roof assembly" sqref="B77:B81" xr:uid="{00000000-0002-0000-0D00-000009000000}"/>
    <dataValidation allowBlank="1" showInputMessage="1" showErrorMessage="1" prompt="Enter a name for the external wall assembly" sqref="B43:B47" xr:uid="{00000000-0002-0000-0D00-00000A000000}"/>
    <dataValidation allowBlank="1" showInputMessage="1" showErrorMessage="1" prompt="Enter a name for the glazing system" sqref="B111:B114" xr:uid="{00000000-0002-0000-0D00-00000B000000}"/>
    <dataValidation allowBlank="1" showInputMessage="1" showErrorMessage="1" prompt="Overall U-value of the facade." sqref="C186:C192" xr:uid="{00000000-0002-0000-0D00-00000C000000}"/>
    <dataValidation allowBlank="1" showInputMessage="1" showErrorMessage="1" prompt="Overall U-value of the walls." sqref="C193 G193" xr:uid="{00000000-0002-0000-0D00-00000D000000}"/>
    <dataValidation type="list" allowBlank="1" showInputMessage="1" showErrorMessage="1" sqref="C43:D47" xr:uid="{00000000-0002-0000-0D00-00000E000000}">
      <formula1>$O$42:$O$47</formula1>
    </dataValidation>
    <dataValidation type="list" allowBlank="1" showInputMessage="1" showErrorMessage="1" sqref="C77:D81" xr:uid="{00000000-0002-0000-0D00-00000F000000}">
      <formula1>$O$75:$O$81</formula1>
    </dataValidation>
    <dataValidation allowBlank="1" showInputMessage="1" showErrorMessage="1" prompt="Type of the solid wall surface" sqref="G150:G154 G282:G286" xr:uid="{00000000-0002-0000-0D00-000010000000}"/>
    <dataValidation allowBlank="1" showInputMessage="1" showErrorMessage="1" prompt="Type of the solid roof surface" sqref="B150:B154 B282:B286" xr:uid="{00000000-0002-0000-0D00-000011000000}"/>
    <dataValidation type="list" allowBlank="1" showInputMessage="1" showErrorMessage="1" sqref="D150:D154 D282:D286" xr:uid="{00000000-0002-0000-0D00-000012000000}">
      <formula1>"Select,Solar reflectivity &gt; 0.7,Green roof,External shadings,PV panels, Solar collector,No"</formula1>
    </dataValidation>
    <dataValidation type="list" allowBlank="1" showInputMessage="1" showErrorMessage="1" sqref="I150:J154 I282:J286" xr:uid="{00000000-0002-0000-0D00-000013000000}">
      <formula1>"Select,Solar reflectivity &gt; 0.4,Green walls,External shadings,PV panels,No"</formula1>
    </dataValidation>
  </dataValidations>
  <hyperlinks>
    <hyperlink ref="M2" location="'E-5 Energy Efficient Appliances'!B3" tooltip="E-5" display="E-5" xr:uid="{00000000-0004-0000-0D00-000000000000}"/>
    <hyperlink ref="M4" location="'Energy BPC'!B3" tooltip="BPC" display="BPC" xr:uid="{00000000-0004-0000-0D00-000001000000}"/>
    <hyperlink ref="L2" location="'E-1 Passive Design'!B3" tooltip="E-1" display="E-1" xr:uid="{00000000-0004-0000-0D00-000002000000}"/>
    <hyperlink ref="L4" location="'E-4 Artificial Lighting'!D3" tooltip="E-4" display="E-4" xr:uid="{00000000-0004-0000-0D00-000003000000}"/>
    <hyperlink ref="L3" location="'E-3 Building Cooling'!B3" tooltip="E-3" display="E-3" xr:uid="{00000000-0004-0000-0D00-000004000000}"/>
    <hyperlink ref="M3" location="'E-6 Energy Monitor'!B3" tooltip="E-6" display="E-6" xr:uid="{00000000-0004-0000-0D00-000005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58B527"/>
  </sheetPr>
  <dimension ref="A1:X362"/>
  <sheetViews>
    <sheetView showRowColHeaders="0" zoomScaleNormal="100" workbookViewId="0">
      <pane ySplit="8" topLeftCell="A38" activePane="bottomLeft" state="frozen"/>
      <selection activeCell="E9" sqref="E9:F9"/>
      <selection pane="bottomLeft" activeCell="G52" sqref="G52"/>
    </sheetView>
  </sheetViews>
  <sheetFormatPr defaultColWidth="0" defaultRowHeight="15" zeroHeight="1" x14ac:dyDescent="0.25"/>
  <cols>
    <col min="1" max="1" width="3.42578125" customWidth="1"/>
    <col min="2" max="2" width="18.42578125" customWidth="1"/>
    <col min="3" max="3" width="17.7109375" customWidth="1"/>
    <col min="4" max="4" width="19.42578125" customWidth="1"/>
    <col min="5" max="5" width="17.140625" customWidth="1"/>
    <col min="6" max="6" width="16.28515625" customWidth="1"/>
    <col min="7" max="7" width="18.28515625" customWidth="1"/>
    <col min="8" max="8" width="16.85546875" customWidth="1"/>
    <col min="9" max="9" width="16.7109375" customWidth="1"/>
    <col min="10" max="10" width="14.5703125" customWidth="1"/>
    <col min="11" max="11" width="13.7109375" customWidth="1"/>
    <col min="12" max="12" width="10.7109375" customWidth="1"/>
    <col min="13" max="13" width="10.85546875" customWidth="1"/>
    <col min="14" max="14" width="10.140625" customWidth="1"/>
    <col min="15" max="24" width="23" hidden="1"/>
    <col min="25" max="16384" width="9.140625" hidden="1"/>
  </cols>
  <sheetData>
    <row r="1" spans="1:19" ht="25.5" customHeight="1" x14ac:dyDescent="0.25">
      <c r="A1" s="1584" t="s">
        <v>2215</v>
      </c>
      <c r="B1" s="1584"/>
      <c r="C1" s="1584"/>
      <c r="D1" s="1584"/>
      <c r="E1" s="1584"/>
      <c r="F1" s="1584"/>
      <c r="G1" s="1584"/>
      <c r="H1" s="1584"/>
      <c r="I1" s="1584"/>
      <c r="J1" s="1584"/>
      <c r="K1" s="1584"/>
      <c r="L1" s="1584"/>
      <c r="M1" s="1584"/>
      <c r="N1" s="1584"/>
      <c r="O1" s="38"/>
      <c r="P1" s="38"/>
      <c r="Q1" s="38"/>
      <c r="R1" s="38"/>
      <c r="S1" s="38"/>
    </row>
    <row r="2" spans="1:19" ht="15" customHeight="1" x14ac:dyDescent="0.25">
      <c r="A2" s="4"/>
      <c r="B2" s="4"/>
      <c r="C2" s="4"/>
      <c r="D2" s="4"/>
      <c r="E2" s="4"/>
      <c r="F2" s="4"/>
      <c r="G2" s="5"/>
      <c r="H2" s="5"/>
      <c r="I2" s="1585" t="s">
        <v>512</v>
      </c>
      <c r="J2" s="1585"/>
      <c r="K2" s="1585"/>
      <c r="L2" s="1585"/>
      <c r="M2" s="212" t="s">
        <v>59</v>
      </c>
      <c r="N2" s="212" t="s">
        <v>74</v>
      </c>
      <c r="O2" s="38"/>
      <c r="P2" s="38"/>
      <c r="Q2" s="38"/>
      <c r="R2" s="38"/>
      <c r="S2" s="38"/>
    </row>
    <row r="3" spans="1:19" ht="15" customHeight="1" x14ac:dyDescent="0.25">
      <c r="A3" s="4"/>
      <c r="B3" s="4"/>
      <c r="C3" s="4"/>
      <c r="D3" s="4"/>
      <c r="E3" s="4"/>
      <c r="F3" s="4"/>
      <c r="G3" s="5"/>
      <c r="H3" s="5"/>
      <c r="I3" s="1585"/>
      <c r="J3" s="1585"/>
      <c r="K3" s="1585"/>
      <c r="L3" s="1585"/>
      <c r="M3" s="212" t="s">
        <v>63</v>
      </c>
      <c r="N3" s="212" t="s">
        <v>78</v>
      </c>
      <c r="O3" s="38"/>
      <c r="P3" s="38"/>
      <c r="Q3" s="38"/>
      <c r="R3" s="38"/>
      <c r="S3" s="38"/>
    </row>
    <row r="4" spans="1:19" ht="15" customHeight="1" x14ac:dyDescent="0.25">
      <c r="A4" s="4"/>
      <c r="B4" s="4"/>
      <c r="C4" s="4"/>
      <c r="D4" s="4"/>
      <c r="E4" s="4"/>
      <c r="F4" s="4"/>
      <c r="G4" s="5"/>
      <c r="H4" s="5"/>
      <c r="I4" s="1586"/>
      <c r="J4" s="1586"/>
      <c r="K4" s="1586"/>
      <c r="L4" s="1586"/>
      <c r="M4" s="212" t="s">
        <v>70</v>
      </c>
      <c r="N4" s="212" t="s">
        <v>76</v>
      </c>
      <c r="O4" s="38"/>
      <c r="P4" s="38"/>
      <c r="Q4" s="38"/>
      <c r="R4" s="38"/>
      <c r="S4" s="38"/>
    </row>
    <row r="5" spans="1:19" s="38" customFormat="1" ht="22.5" customHeight="1" x14ac:dyDescent="0.25">
      <c r="A5" s="1600" t="s">
        <v>2576</v>
      </c>
      <c r="B5" s="1601"/>
      <c r="C5" s="1601"/>
      <c r="D5" s="1601"/>
      <c r="E5" s="1601"/>
      <c r="F5" s="1601"/>
      <c r="G5" s="1601"/>
      <c r="H5" s="1601"/>
      <c r="I5" s="1601"/>
      <c r="J5" s="1601"/>
      <c r="K5" s="1601"/>
      <c r="L5" s="1601"/>
      <c r="M5" s="1601"/>
      <c r="N5" s="1602"/>
    </row>
    <row r="6" spans="1:19" s="38" customFormat="1" ht="22.5" customHeight="1" x14ac:dyDescent="0.25">
      <c r="A6" s="1603"/>
      <c r="B6" s="1604"/>
      <c r="C6" s="1604"/>
      <c r="D6" s="1604"/>
      <c r="E6" s="1604"/>
      <c r="F6" s="1604"/>
      <c r="G6" s="1604"/>
      <c r="H6" s="1604"/>
      <c r="I6" s="1604"/>
      <c r="J6" s="1604"/>
      <c r="K6" s="1604"/>
      <c r="L6" s="1604"/>
      <c r="M6" s="1604"/>
      <c r="N6" s="1605"/>
    </row>
    <row r="7" spans="1:19" s="38" customFormat="1" ht="21" customHeight="1" x14ac:dyDescent="0.25">
      <c r="A7" s="1606"/>
      <c r="B7" s="1607"/>
      <c r="C7" s="1607"/>
      <c r="D7" s="1607"/>
      <c r="E7" s="1607"/>
      <c r="F7" s="1607"/>
      <c r="G7" s="1607"/>
      <c r="H7" s="1607"/>
      <c r="I7" s="1607"/>
      <c r="J7" s="1607"/>
      <c r="K7" s="1607"/>
      <c r="L7" s="1607"/>
      <c r="M7" s="1607"/>
      <c r="N7" s="1608"/>
    </row>
    <row r="8" spans="1:19" s="38" customFormat="1" ht="12" customHeight="1" x14ac:dyDescent="0.25">
      <c r="A8" s="49"/>
      <c r="B8" s="50"/>
      <c r="C8" s="50"/>
      <c r="D8" s="50"/>
      <c r="E8" s="50"/>
      <c r="F8" s="49"/>
      <c r="G8" s="49"/>
      <c r="H8" s="49"/>
      <c r="I8" s="49"/>
      <c r="J8" s="49"/>
      <c r="K8" s="49"/>
      <c r="L8" s="49"/>
      <c r="M8" s="49"/>
      <c r="N8" s="49"/>
    </row>
    <row r="9" spans="1:19" s="38" customFormat="1" ht="17.25" customHeight="1" x14ac:dyDescent="0.25">
      <c r="A9" s="1591" t="s">
        <v>177</v>
      </c>
      <c r="B9" s="1591"/>
      <c r="C9" s="1591"/>
      <c r="D9" s="1591"/>
      <c r="E9" s="1591"/>
      <c r="F9" s="1591"/>
      <c r="G9" s="1591"/>
      <c r="H9" s="1591"/>
      <c r="I9" s="1591"/>
      <c r="J9" s="1591"/>
      <c r="K9" s="1591"/>
      <c r="L9" s="1591"/>
      <c r="M9" s="1591"/>
      <c r="N9" s="1591"/>
    </row>
    <row r="10" spans="1:19" s="38" customFormat="1" x14ac:dyDescent="0.25">
      <c r="A10" s="49"/>
      <c r="B10" s="50"/>
      <c r="C10" s="50"/>
      <c r="D10" s="50"/>
      <c r="E10" s="50"/>
      <c r="F10" s="49"/>
      <c r="G10" s="49"/>
      <c r="H10" s="49"/>
      <c r="I10" s="49"/>
      <c r="J10" s="49"/>
      <c r="K10" s="49"/>
      <c r="L10" s="49"/>
      <c r="M10" s="49"/>
      <c r="N10" s="49"/>
    </row>
    <row r="11" spans="1:19" s="38" customFormat="1" x14ac:dyDescent="0.25">
      <c r="A11" s="49"/>
      <c r="B11" s="632" t="s">
        <v>979</v>
      </c>
      <c r="C11" s="50"/>
      <c r="D11" s="50"/>
      <c r="E11" s="50"/>
      <c r="F11" s="49"/>
      <c r="G11" s="49"/>
      <c r="H11" s="49"/>
      <c r="I11" s="49"/>
      <c r="J11" s="49"/>
      <c r="K11" s="49"/>
      <c r="L11" s="49"/>
      <c r="M11" s="49"/>
      <c r="N11" s="49"/>
    </row>
    <row r="12" spans="1:19" s="38" customFormat="1" x14ac:dyDescent="0.25">
      <c r="A12" s="49"/>
      <c r="B12" s="556"/>
      <c r="C12" s="50"/>
      <c r="D12" s="50"/>
      <c r="E12" s="50"/>
      <c r="F12" s="49"/>
      <c r="G12" s="49"/>
      <c r="H12" s="49"/>
      <c r="I12" s="49"/>
      <c r="J12" s="49"/>
      <c r="K12" s="49"/>
      <c r="L12" s="49"/>
      <c r="M12" s="49"/>
      <c r="N12" s="49"/>
    </row>
    <row r="13" spans="1:19" s="38" customFormat="1" ht="18" customHeight="1" x14ac:dyDescent="0.25">
      <c r="A13" s="49"/>
      <c r="B13" s="1723" t="s">
        <v>19</v>
      </c>
      <c r="C13" s="1724"/>
      <c r="D13" s="1724"/>
      <c r="E13" s="1724"/>
      <c r="F13" s="1724"/>
      <c r="G13" s="1309" t="s">
        <v>152</v>
      </c>
      <c r="H13" s="1309" t="s">
        <v>53</v>
      </c>
      <c r="I13" s="1310" t="s">
        <v>492</v>
      </c>
      <c r="J13" s="443"/>
      <c r="K13" s="49"/>
      <c r="L13" s="49"/>
      <c r="M13" s="49"/>
      <c r="N13" s="49"/>
    </row>
    <row r="14" spans="1:19" s="38" customFormat="1" ht="16.5" customHeight="1" x14ac:dyDescent="0.25">
      <c r="A14" s="49"/>
      <c r="B14" s="1710" t="s">
        <v>16</v>
      </c>
      <c r="C14" s="1711"/>
      <c r="D14" s="1711"/>
      <c r="E14" s="1711"/>
      <c r="F14" s="1712"/>
      <c r="G14" s="1722">
        <v>6</v>
      </c>
      <c r="H14" s="1722">
        <f>IF(D35="Prescriptive Path",IF(C77="",0,C77),"/")</f>
        <v>0</v>
      </c>
      <c r="I14" s="1722" t="str">
        <f>IF(D35="Prescriptive Path",IF(C78="","No",C78),"/")</f>
        <v>No</v>
      </c>
      <c r="J14" s="49"/>
      <c r="K14" s="49"/>
      <c r="L14" s="49"/>
      <c r="M14" s="49"/>
      <c r="N14" s="49"/>
    </row>
    <row r="15" spans="1:19" s="38" customFormat="1" ht="43.5" customHeight="1" x14ac:dyDescent="0.25">
      <c r="A15" s="49"/>
      <c r="B15" s="1725" t="s">
        <v>2585</v>
      </c>
      <c r="C15" s="1726" t="s">
        <v>230</v>
      </c>
      <c r="D15" s="1726" t="s">
        <v>230</v>
      </c>
      <c r="E15" s="1726" t="s">
        <v>230</v>
      </c>
      <c r="F15" s="1726"/>
      <c r="G15" s="1722"/>
      <c r="H15" s="1722"/>
      <c r="I15" s="1722"/>
      <c r="J15" s="49"/>
      <c r="K15" s="49"/>
      <c r="L15" s="49"/>
      <c r="M15" s="49"/>
      <c r="N15" s="49"/>
    </row>
    <row r="16" spans="1:19" s="38" customFormat="1" ht="16.5" customHeight="1" x14ac:dyDescent="0.25">
      <c r="A16" s="49"/>
      <c r="B16" s="1729" t="s">
        <v>15</v>
      </c>
      <c r="C16" s="1730"/>
      <c r="D16" s="1730"/>
      <c r="E16" s="1730"/>
      <c r="F16" s="1731"/>
      <c r="G16" s="1722">
        <v>4</v>
      </c>
      <c r="H16" s="1722" t="str">
        <f>IF(D35&lt;&gt;"Performance Path","/",IF(C122="",0,C122))</f>
        <v>/</v>
      </c>
      <c r="I16" s="1722" t="str">
        <f>IF(D35&lt;&gt;"Performance Path","/",IF(C123="","No",C123))</f>
        <v>/</v>
      </c>
      <c r="J16" s="49"/>
      <c r="K16" s="49"/>
      <c r="L16" s="49"/>
      <c r="M16" s="49"/>
      <c r="N16" s="49"/>
      <c r="Q16"/>
      <c r="R16"/>
    </row>
    <row r="17" spans="1:19" s="38" customFormat="1" ht="31.5" customHeight="1" x14ac:dyDescent="0.25">
      <c r="A17" s="49"/>
      <c r="B17" s="1727" t="s">
        <v>2523</v>
      </c>
      <c r="C17" s="1728"/>
      <c r="D17" s="1728"/>
      <c r="E17" s="1728"/>
      <c r="F17" s="1728"/>
      <c r="G17" s="1722"/>
      <c r="H17" s="1722"/>
      <c r="I17" s="1722"/>
      <c r="J17" s="49"/>
      <c r="K17" s="49"/>
      <c r="L17" s="49"/>
      <c r="M17" s="49"/>
      <c r="N17" s="49"/>
      <c r="Q17"/>
      <c r="R17"/>
    </row>
    <row r="18" spans="1:19" ht="19.5" customHeight="1" x14ac:dyDescent="0.25">
      <c r="A18" s="4"/>
      <c r="B18" s="1735" t="s">
        <v>79</v>
      </c>
      <c r="C18" s="1736"/>
      <c r="D18" s="1736"/>
      <c r="E18" s="1736"/>
      <c r="F18" s="1737"/>
      <c r="G18" s="631">
        <v>6</v>
      </c>
      <c r="H18" s="631">
        <f>MIN(6,SUM(H14:H16))</f>
        <v>0</v>
      </c>
      <c r="I18" s="631" t="str">
        <f>IF(AND(COUNTIF(I14:I16,"No")=0,COUNTIF(I14:I16,"Yes")&gt;0),"Yes","No")</f>
        <v>No</v>
      </c>
      <c r="J18" s="49"/>
      <c r="K18" s="5"/>
      <c r="L18" s="5"/>
      <c r="M18" s="49"/>
      <c r="N18" s="5"/>
    </row>
    <row r="19" spans="1:19" ht="15" customHeight="1" x14ac:dyDescent="0.25">
      <c r="A19" s="4"/>
      <c r="B19" s="4"/>
      <c r="C19" s="4"/>
      <c r="D19" s="4"/>
      <c r="E19" s="4"/>
      <c r="F19" s="4"/>
      <c r="G19" s="5"/>
      <c r="H19" s="49"/>
      <c r="I19" s="49"/>
      <c r="J19" s="5"/>
      <c r="K19" s="5"/>
      <c r="L19" s="5"/>
      <c r="M19" s="49"/>
      <c r="N19" s="5"/>
    </row>
    <row r="20" spans="1:19" s="38" customFormat="1" ht="18" customHeight="1" x14ac:dyDescent="0.25">
      <c r="A20" s="49"/>
      <c r="B20" s="1723" t="s">
        <v>20</v>
      </c>
      <c r="C20" s="1724"/>
      <c r="D20" s="1724"/>
      <c r="E20" s="1724"/>
      <c r="F20" s="1724"/>
      <c r="G20" s="442" t="s">
        <v>152</v>
      </c>
      <c r="H20" s="442" t="s">
        <v>53</v>
      </c>
      <c r="I20" s="90" t="s">
        <v>492</v>
      </c>
      <c r="J20" s="443"/>
      <c r="K20" s="49"/>
      <c r="L20" s="49"/>
      <c r="M20" s="49"/>
      <c r="N20" s="49"/>
      <c r="Q20"/>
      <c r="R20"/>
    </row>
    <row r="21" spans="1:19" s="38" customFormat="1" ht="16.5" customHeight="1" x14ac:dyDescent="0.25">
      <c r="A21" s="49"/>
      <c r="B21" s="1710" t="s">
        <v>16</v>
      </c>
      <c r="C21" s="1711"/>
      <c r="D21" s="1711"/>
      <c r="E21" s="1711"/>
      <c r="F21" s="1712"/>
      <c r="G21" s="1707">
        <v>4</v>
      </c>
      <c r="H21" s="1707" t="str">
        <f>IF(D127="Prescriptive Path",IF(C169="",0,C169),"/")</f>
        <v>/</v>
      </c>
      <c r="I21" s="1707" t="str">
        <f>IF(D127="Prescriptive Path",IF(C170="","No",C170),"/")</f>
        <v>/</v>
      </c>
      <c r="J21" s="49"/>
      <c r="K21" s="49"/>
      <c r="L21" s="49"/>
      <c r="M21" s="49"/>
      <c r="N21" s="49"/>
    </row>
    <row r="22" spans="1:19" s="38" customFormat="1" ht="25.5" customHeight="1" x14ac:dyDescent="0.25">
      <c r="A22" s="49"/>
      <c r="B22" s="1713" t="s">
        <v>2518</v>
      </c>
      <c r="C22" s="1714"/>
      <c r="D22" s="1714"/>
      <c r="E22" s="1714"/>
      <c r="F22" s="1715"/>
      <c r="G22" s="1708"/>
      <c r="H22" s="1708"/>
      <c r="I22" s="1708"/>
      <c r="J22" s="49"/>
      <c r="K22" s="49"/>
      <c r="L22" s="49"/>
      <c r="M22" s="49"/>
      <c r="N22" s="49"/>
    </row>
    <row r="23" spans="1:19" s="38" customFormat="1" ht="15" customHeight="1" x14ac:dyDescent="0.25">
      <c r="A23" s="49"/>
      <c r="B23" s="1732" t="s">
        <v>2519</v>
      </c>
      <c r="C23" s="1733" t="s">
        <v>944</v>
      </c>
      <c r="D23" s="1733" t="s">
        <v>944</v>
      </c>
      <c r="E23" s="1733" t="s">
        <v>944</v>
      </c>
      <c r="F23" s="1734"/>
      <c r="G23" s="1708"/>
      <c r="H23" s="1708"/>
      <c r="I23" s="1708"/>
      <c r="J23" s="49"/>
      <c r="K23" s="49"/>
      <c r="L23" s="49"/>
      <c r="M23" s="49"/>
      <c r="N23" s="49"/>
    </row>
    <row r="24" spans="1:19" s="38" customFormat="1" ht="15" customHeight="1" x14ac:dyDescent="0.25">
      <c r="A24" s="49"/>
      <c r="B24" s="1713" t="s">
        <v>1594</v>
      </c>
      <c r="C24" s="1714"/>
      <c r="D24" s="1714"/>
      <c r="E24" s="1714"/>
      <c r="F24" s="1715"/>
      <c r="G24" s="1708"/>
      <c r="H24" s="1708"/>
      <c r="I24" s="1708"/>
      <c r="J24" s="49"/>
      <c r="K24" s="49"/>
      <c r="L24" s="49"/>
      <c r="M24" s="49"/>
      <c r="N24" s="49"/>
      <c r="Q24"/>
      <c r="R24"/>
      <c r="S24"/>
    </row>
    <row r="25" spans="1:19" s="38" customFormat="1" ht="15" customHeight="1" x14ac:dyDescent="0.25">
      <c r="A25" s="49"/>
      <c r="B25" s="1713" t="s">
        <v>1595</v>
      </c>
      <c r="C25" s="1714"/>
      <c r="D25" s="1714"/>
      <c r="E25" s="1714"/>
      <c r="F25" s="1715">
        <v>2</v>
      </c>
      <c r="G25" s="1708"/>
      <c r="H25" s="1708"/>
      <c r="I25" s="1708"/>
      <c r="J25" s="49"/>
      <c r="K25" s="49"/>
      <c r="L25" s="49"/>
      <c r="M25" s="49"/>
      <c r="N25" s="49"/>
      <c r="Q25"/>
      <c r="R25"/>
      <c r="S25"/>
    </row>
    <row r="26" spans="1:19" s="38" customFormat="1" ht="15" customHeight="1" x14ac:dyDescent="0.25">
      <c r="A26" s="49"/>
      <c r="B26" s="1713" t="s">
        <v>1596</v>
      </c>
      <c r="C26" s="1714"/>
      <c r="D26" s="1714"/>
      <c r="E26" s="1714"/>
      <c r="F26" s="1715">
        <v>3</v>
      </c>
      <c r="G26" s="1709"/>
      <c r="H26" s="1709"/>
      <c r="I26" s="1709"/>
      <c r="J26" s="49"/>
      <c r="K26" s="49"/>
      <c r="L26" s="49"/>
      <c r="M26" s="49"/>
      <c r="N26" s="49"/>
      <c r="Q26"/>
      <c r="R26"/>
      <c r="S26"/>
    </row>
    <row r="27" spans="1:19" s="38" customFormat="1" ht="16.5" customHeight="1" x14ac:dyDescent="0.25">
      <c r="A27" s="49"/>
      <c r="B27" s="1729" t="s">
        <v>15</v>
      </c>
      <c r="C27" s="1730"/>
      <c r="D27" s="1730"/>
      <c r="E27" s="1730"/>
      <c r="F27" s="1731"/>
      <c r="G27" s="1707">
        <v>4</v>
      </c>
      <c r="H27" s="1707" t="str">
        <f>IF(D127="Performance Path",IF(C231="",0,C231),"/")</f>
        <v>/</v>
      </c>
      <c r="I27" s="1707" t="str">
        <f>IF(D127="Performance Path",IF(C232="","No",C232),"/")</f>
        <v>/</v>
      </c>
      <c r="J27" s="49"/>
      <c r="K27" s="49"/>
      <c r="L27" s="49"/>
      <c r="M27" s="49"/>
      <c r="N27" s="49"/>
      <c r="Q27"/>
      <c r="R27"/>
      <c r="S27"/>
    </row>
    <row r="28" spans="1:19" s="38" customFormat="1" ht="25.5" customHeight="1" x14ac:dyDescent="0.25">
      <c r="A28" s="49"/>
      <c r="B28" s="1713" t="s">
        <v>2520</v>
      </c>
      <c r="C28" s="1714"/>
      <c r="D28" s="1714"/>
      <c r="E28" s="1714"/>
      <c r="F28" s="1715"/>
      <c r="G28" s="1708"/>
      <c r="H28" s="1708"/>
      <c r="I28" s="1708"/>
      <c r="J28" s="49"/>
      <c r="K28" s="49"/>
      <c r="L28" s="49"/>
      <c r="M28" s="49"/>
      <c r="N28" s="49"/>
      <c r="Q28"/>
      <c r="R28"/>
      <c r="S28"/>
    </row>
    <row r="29" spans="1:19" s="38" customFormat="1" ht="15" customHeight="1" x14ac:dyDescent="0.25">
      <c r="A29" s="49"/>
      <c r="B29" s="1732" t="s">
        <v>2521</v>
      </c>
      <c r="C29" s="1733" t="s">
        <v>944</v>
      </c>
      <c r="D29" s="1733" t="s">
        <v>944</v>
      </c>
      <c r="E29" s="1733" t="s">
        <v>944</v>
      </c>
      <c r="F29" s="1734"/>
      <c r="G29" s="1708"/>
      <c r="H29" s="1708"/>
      <c r="I29" s="1708"/>
      <c r="J29" s="49"/>
      <c r="K29" s="49"/>
      <c r="L29" s="49"/>
      <c r="M29" s="49"/>
      <c r="N29" s="49"/>
      <c r="Q29"/>
      <c r="R29"/>
      <c r="S29"/>
    </row>
    <row r="30" spans="1:19" s="38" customFormat="1" ht="39" customHeight="1" x14ac:dyDescent="0.25">
      <c r="A30" s="49"/>
      <c r="B30" s="1718" t="s">
        <v>2522</v>
      </c>
      <c r="C30" s="1719" t="s">
        <v>231</v>
      </c>
      <c r="D30" s="1719" t="s">
        <v>231</v>
      </c>
      <c r="E30" s="1719" t="s">
        <v>231</v>
      </c>
      <c r="F30" s="1720">
        <v>3</v>
      </c>
      <c r="G30" s="1709"/>
      <c r="H30" s="1709"/>
      <c r="I30" s="1709"/>
      <c r="J30" s="49"/>
      <c r="K30" s="49"/>
      <c r="L30" s="49"/>
      <c r="M30" s="49"/>
      <c r="N30" s="49"/>
      <c r="Q30"/>
      <c r="R30"/>
      <c r="S30"/>
    </row>
    <row r="31" spans="1:19" s="38" customFormat="1" ht="19.5" customHeight="1" x14ac:dyDescent="0.25">
      <c r="A31" s="49"/>
      <c r="B31" s="1613" t="s">
        <v>79</v>
      </c>
      <c r="C31" s="1748"/>
      <c r="D31" s="1748"/>
      <c r="E31" s="1748"/>
      <c r="F31" s="1749"/>
      <c r="G31" s="631">
        <v>6</v>
      </c>
      <c r="H31" s="631">
        <f>MIN(6,SUM(H21:H30))</f>
        <v>0</v>
      </c>
      <c r="I31" s="631" t="str">
        <f>IF(AND(COUNTIF(I21:I30,"No")=0,COUNTIF(I21:I30,"Yes")&gt;0),"Yes","No")</f>
        <v>No</v>
      </c>
      <c r="J31" s="49"/>
      <c r="K31" s="49"/>
      <c r="L31" s="49"/>
      <c r="M31" s="49"/>
      <c r="N31" s="49"/>
      <c r="Q31"/>
      <c r="R31"/>
      <c r="S31"/>
    </row>
    <row r="32" spans="1:19" ht="15" customHeight="1" x14ac:dyDescent="0.25">
      <c r="A32" s="4"/>
      <c r="B32" s="4"/>
      <c r="C32" s="4"/>
      <c r="D32" s="4"/>
      <c r="E32" s="4"/>
      <c r="F32" s="4"/>
      <c r="G32" s="5"/>
      <c r="H32" s="5"/>
      <c r="I32" s="5"/>
      <c r="J32" s="5"/>
      <c r="K32" s="5"/>
      <c r="L32" s="5"/>
      <c r="M32" s="5"/>
      <c r="N32" s="5"/>
    </row>
    <row r="33" spans="1:16" ht="18" customHeight="1" x14ac:dyDescent="0.25">
      <c r="A33" s="1591" t="s">
        <v>19</v>
      </c>
      <c r="B33" s="1591"/>
      <c r="C33" s="1591"/>
      <c r="D33" s="1591"/>
      <c r="E33" s="1591"/>
      <c r="F33" s="1591"/>
      <c r="G33" s="1591"/>
      <c r="H33" s="1591"/>
      <c r="I33" s="1591"/>
      <c r="J33" s="1591"/>
      <c r="K33" s="1591"/>
      <c r="L33" s="1591"/>
      <c r="M33" s="1591"/>
      <c r="N33" s="1591"/>
    </row>
    <row r="34" spans="1:16" ht="15" customHeight="1" x14ac:dyDescent="0.25">
      <c r="A34" s="4"/>
      <c r="B34" s="4"/>
      <c r="C34" s="4"/>
      <c r="D34" s="4"/>
      <c r="E34" s="4"/>
      <c r="F34" s="4"/>
      <c r="G34" s="5"/>
      <c r="H34" s="5"/>
      <c r="I34" s="5"/>
      <c r="J34" s="5"/>
      <c r="K34" s="5"/>
      <c r="L34" s="5"/>
      <c r="M34" s="5"/>
      <c r="N34" s="5"/>
    </row>
    <row r="35" spans="1:16" ht="15" customHeight="1" x14ac:dyDescent="0.25">
      <c r="A35" s="4"/>
      <c r="B35" s="1716" t="s">
        <v>232</v>
      </c>
      <c r="C35" s="1717"/>
      <c r="D35" s="242" t="s">
        <v>16</v>
      </c>
      <c r="E35" s="4"/>
      <c r="F35" s="4"/>
      <c r="G35" s="5"/>
      <c r="H35" s="5"/>
      <c r="I35" s="5"/>
      <c r="J35" s="5"/>
      <c r="K35" s="5"/>
      <c r="L35" s="5"/>
      <c r="M35" s="5"/>
      <c r="N35" s="5"/>
    </row>
    <row r="36" spans="1:16" ht="17.25" customHeight="1" x14ac:dyDescent="0.25">
      <c r="A36" s="4"/>
      <c r="B36" s="4"/>
      <c r="C36" s="4"/>
      <c r="D36" s="4"/>
      <c r="E36" s="4"/>
      <c r="F36" s="4"/>
      <c r="G36" s="5"/>
      <c r="H36" s="5"/>
      <c r="I36" s="5"/>
      <c r="J36" s="5"/>
      <c r="K36" s="5"/>
      <c r="L36" s="5"/>
      <c r="M36" s="5"/>
      <c r="N36" s="5"/>
    </row>
    <row r="37" spans="1:16" ht="18" customHeight="1" x14ac:dyDescent="0.25">
      <c r="A37" s="1591" t="s">
        <v>514</v>
      </c>
      <c r="B37" s="1591"/>
      <c r="C37" s="1591"/>
      <c r="D37" s="1591"/>
      <c r="E37" s="1591"/>
      <c r="F37" s="1591"/>
      <c r="G37" s="1591"/>
      <c r="H37" s="1591"/>
      <c r="I37" s="1591"/>
      <c r="J37" s="1591"/>
      <c r="K37" s="1591"/>
      <c r="L37" s="1591"/>
      <c r="M37" s="1591"/>
      <c r="N37" s="1591"/>
    </row>
    <row r="38" spans="1:16" ht="13.5" customHeight="1" x14ac:dyDescent="0.25">
      <c r="A38" s="269"/>
      <c r="B38" s="190"/>
      <c r="C38" s="190"/>
      <c r="D38" s="190"/>
      <c r="E38" s="190"/>
      <c r="F38" s="190"/>
      <c r="G38" s="190"/>
      <c r="H38" s="190"/>
      <c r="I38" s="190"/>
      <c r="J38" s="190"/>
      <c r="K38" s="190"/>
      <c r="L38" s="190"/>
      <c r="M38" s="190"/>
      <c r="N38" s="190"/>
    </row>
    <row r="39" spans="1:16" ht="16.5" customHeight="1" x14ac:dyDescent="0.25">
      <c r="A39" s="1592" t="s">
        <v>245</v>
      </c>
      <c r="B39" s="1592"/>
      <c r="C39" s="1592"/>
      <c r="D39" s="190"/>
      <c r="E39" s="190"/>
      <c r="F39" s="190"/>
      <c r="G39" s="190"/>
      <c r="H39" s="190"/>
      <c r="I39" s="190"/>
      <c r="J39" s="190"/>
      <c r="K39" s="190"/>
      <c r="L39" s="190"/>
      <c r="M39" s="190"/>
      <c r="N39" s="190"/>
    </row>
    <row r="40" spans="1:16" x14ac:dyDescent="0.25">
      <c r="A40" s="190"/>
      <c r="B40" s="190"/>
      <c r="C40" s="190"/>
      <c r="D40" s="190"/>
      <c r="E40" s="190"/>
      <c r="F40" s="190"/>
      <c r="G40" s="190"/>
      <c r="H40" s="190"/>
      <c r="I40" s="190"/>
      <c r="J40" s="190"/>
      <c r="K40" s="190"/>
      <c r="L40" s="190"/>
      <c r="M40" s="190"/>
      <c r="N40" s="190"/>
    </row>
    <row r="41" spans="1:16" ht="15" customHeight="1" x14ac:dyDescent="0.25">
      <c r="A41" s="190"/>
      <c r="B41" s="1158" t="s">
        <v>2219</v>
      </c>
      <c r="C41" s="190"/>
      <c r="D41" s="190"/>
      <c r="E41" s="190"/>
      <c r="F41" s="190"/>
      <c r="G41" s="190"/>
      <c r="H41" s="190"/>
      <c r="I41" s="190"/>
      <c r="J41" s="190"/>
      <c r="K41" s="190"/>
      <c r="L41" s="190"/>
      <c r="M41" s="190"/>
      <c r="N41" s="190"/>
    </row>
    <row r="42" spans="1:16" x14ac:dyDescent="0.25">
      <c r="A42" s="190"/>
      <c r="B42" s="190"/>
      <c r="C42" s="190"/>
      <c r="D42" s="190"/>
      <c r="E42" s="190"/>
      <c r="F42" s="190"/>
      <c r="G42" s="190"/>
      <c r="H42" s="190"/>
      <c r="I42" s="190"/>
      <c r="J42" s="190"/>
      <c r="K42" s="190"/>
      <c r="L42" s="190"/>
      <c r="M42" s="190"/>
      <c r="N42" s="190"/>
    </row>
    <row r="43" spans="1:16" ht="15" customHeight="1" x14ac:dyDescent="0.25">
      <c r="A43" s="190"/>
      <c r="B43" s="1738" t="s">
        <v>2577</v>
      </c>
      <c r="C43" s="1739"/>
      <c r="D43" s="1739"/>
      <c r="E43" s="1739"/>
      <c r="F43" s="1739"/>
      <c r="G43" s="1740"/>
      <c r="H43" s="190"/>
      <c r="I43" s="190"/>
      <c r="J43" s="190"/>
      <c r="K43" s="190"/>
      <c r="L43" s="190"/>
      <c r="M43" s="190"/>
      <c r="N43" s="190"/>
    </row>
    <row r="44" spans="1:16" x14ac:dyDescent="0.25">
      <c r="A44" s="190"/>
      <c r="B44" s="1741" t="s">
        <v>2578</v>
      </c>
      <c r="C44" s="1742"/>
      <c r="D44" s="1742"/>
      <c r="E44" s="1742"/>
      <c r="F44" s="1742"/>
      <c r="G44" s="1743"/>
      <c r="H44" s="190"/>
      <c r="I44" s="190"/>
      <c r="J44" s="190"/>
      <c r="K44" s="190"/>
      <c r="L44" s="190"/>
      <c r="M44" s="190"/>
      <c r="N44" s="190"/>
    </row>
    <row r="45" spans="1:16" x14ac:dyDescent="0.25">
      <c r="A45" s="190"/>
      <c r="B45" s="1741" t="s">
        <v>2579</v>
      </c>
      <c r="C45" s="1742"/>
      <c r="D45" s="1742"/>
      <c r="E45" s="1742"/>
      <c r="F45" s="1742"/>
      <c r="G45" s="1743"/>
      <c r="H45" s="1336"/>
      <c r="I45" s="1336"/>
      <c r="J45" s="1336"/>
      <c r="K45" s="1336"/>
      <c r="L45" s="190"/>
      <c r="M45" s="190"/>
      <c r="N45" s="190"/>
      <c r="O45" s="80" t="b">
        <v>0</v>
      </c>
      <c r="P45" s="80" t="b">
        <v>0</v>
      </c>
    </row>
    <row r="46" spans="1:16" x14ac:dyDescent="0.25">
      <c r="A46" s="190"/>
      <c r="B46" s="1744" t="s">
        <v>2580</v>
      </c>
      <c r="C46" s="1745"/>
      <c r="D46" s="1745"/>
      <c r="E46" s="1745"/>
      <c r="F46" s="1745"/>
      <c r="G46" s="1746"/>
      <c r="H46" s="1336"/>
      <c r="I46" s="1336"/>
      <c r="J46" s="1336"/>
      <c r="K46" s="1336"/>
      <c r="L46" s="190"/>
      <c r="M46" s="190"/>
      <c r="N46" s="190"/>
      <c r="O46" s="80"/>
      <c r="P46" s="80"/>
    </row>
    <row r="47" spans="1:16" x14ac:dyDescent="0.25">
      <c r="A47" s="190"/>
      <c r="B47" s="227"/>
      <c r="C47" s="190"/>
      <c r="D47" s="190"/>
      <c r="E47" s="190"/>
      <c r="F47" s="190"/>
      <c r="G47" s="190"/>
      <c r="H47" s="1336"/>
      <c r="I47" s="1336"/>
      <c r="J47" s="1336"/>
      <c r="K47" s="1336"/>
      <c r="L47" s="190"/>
      <c r="M47" s="190"/>
      <c r="N47" s="190"/>
      <c r="O47" s="80"/>
      <c r="P47" s="80"/>
    </row>
    <row r="48" spans="1:16" ht="18" customHeight="1" x14ac:dyDescent="0.25">
      <c r="A48" s="190"/>
      <c r="B48" s="621" t="s">
        <v>2581</v>
      </c>
      <c r="C48" s="190"/>
      <c r="D48" s="190"/>
      <c r="E48" s="190"/>
      <c r="F48" s="190"/>
      <c r="G48" s="190"/>
      <c r="H48" s="1336"/>
      <c r="I48" s="1336"/>
      <c r="J48" s="1336"/>
      <c r="K48" s="1336"/>
      <c r="L48" s="190"/>
      <c r="M48" s="190"/>
      <c r="N48" s="190"/>
      <c r="O48" s="80"/>
      <c r="P48" s="80"/>
    </row>
    <row r="49" spans="1:15" x14ac:dyDescent="0.25">
      <c r="A49" s="190"/>
      <c r="B49" s="228"/>
      <c r="C49" s="190"/>
      <c r="D49" s="190"/>
      <c r="E49" s="190"/>
      <c r="F49" s="190"/>
      <c r="G49" s="190"/>
      <c r="H49" s="1336"/>
      <c r="I49" s="1336"/>
      <c r="J49" s="1336"/>
      <c r="K49" s="1336"/>
      <c r="L49" s="190"/>
      <c r="M49" s="190"/>
      <c r="N49" s="190"/>
    </row>
    <row r="50" spans="1:15" ht="25.5" customHeight="1" x14ac:dyDescent="0.25">
      <c r="A50" s="190"/>
      <c r="B50" s="1322" t="s">
        <v>1874</v>
      </c>
      <c r="C50" s="1323" t="s">
        <v>40</v>
      </c>
      <c r="D50" s="1323" t="s">
        <v>2582</v>
      </c>
      <c r="E50" s="1323" t="s">
        <v>2583</v>
      </c>
      <c r="F50" s="1323" t="s">
        <v>513</v>
      </c>
      <c r="G50" s="1325" t="s">
        <v>172</v>
      </c>
      <c r="H50" s="1336"/>
      <c r="I50" s="1336"/>
      <c r="J50" s="1336"/>
      <c r="K50" s="1336"/>
      <c r="L50" s="190"/>
      <c r="M50" s="190"/>
      <c r="N50" s="190"/>
      <c r="O50" s="2489" t="s">
        <v>2673</v>
      </c>
    </row>
    <row r="51" spans="1:15" x14ac:dyDescent="0.25">
      <c r="A51" s="190"/>
      <c r="B51" s="2490"/>
      <c r="C51" s="2491"/>
      <c r="D51" s="1337" t="s">
        <v>124</v>
      </c>
      <c r="E51" s="1327" t="s">
        <v>124</v>
      </c>
      <c r="F51" s="1326"/>
      <c r="G51" s="297" t="str">
        <f>IFERROR(IF(D51="No",IF(OR(AND(E51="normal fans",O51&gt;=1),E51="HVLS fans",E51="cross ventilation"),"Yes","No"),"No"),"")</f>
        <v>No</v>
      </c>
      <c r="H51" s="190"/>
      <c r="I51" s="190"/>
      <c r="J51" s="190"/>
      <c r="K51" s="190"/>
      <c r="L51" s="190"/>
      <c r="M51" s="190"/>
      <c r="N51" s="190"/>
      <c r="O51" s="2492" t="str">
        <f>IFERROR(F51/C51*20,"")</f>
        <v/>
      </c>
    </row>
    <row r="52" spans="1:15" x14ac:dyDescent="0.25">
      <c r="A52" s="190"/>
      <c r="B52" s="2490"/>
      <c r="C52" s="2491"/>
      <c r="D52" s="1337" t="s">
        <v>124</v>
      </c>
      <c r="E52" s="1327" t="s">
        <v>124</v>
      </c>
      <c r="F52" s="1326"/>
      <c r="G52" s="297" t="str">
        <f t="shared" ref="G52:G65" si="0">IFERROR(IF(D52="No",IF(OR(AND(E52="normal fans",O52&gt;=1),E52="HVLS fans",E52="cross ventilation"),"Yes","No"),"No"),"")</f>
        <v>No</v>
      </c>
      <c r="H52" s="190"/>
      <c r="I52" s="190"/>
      <c r="J52" s="190"/>
      <c r="K52" s="190"/>
      <c r="L52" s="190"/>
      <c r="M52" s="190"/>
      <c r="N52" s="190"/>
      <c r="O52" s="2492" t="str">
        <f t="shared" ref="O52:O65" si="1">IFERROR(F52/C52*20,"")</f>
        <v/>
      </c>
    </row>
    <row r="53" spans="1:15" x14ac:dyDescent="0.25">
      <c r="A53" s="190"/>
      <c r="B53" s="1324"/>
      <c r="C53" s="1159"/>
      <c r="D53" s="1337" t="s">
        <v>124</v>
      </c>
      <c r="E53" s="1327" t="s">
        <v>124</v>
      </c>
      <c r="F53" s="1326"/>
      <c r="G53" s="297" t="str">
        <f t="shared" si="0"/>
        <v>No</v>
      </c>
      <c r="H53" s="190"/>
      <c r="I53" s="190"/>
      <c r="J53" s="190"/>
      <c r="K53" s="190"/>
      <c r="L53" s="190"/>
      <c r="M53" s="190"/>
      <c r="N53" s="190"/>
      <c r="O53" s="2492" t="str">
        <f t="shared" si="1"/>
        <v/>
      </c>
    </row>
    <row r="54" spans="1:15" x14ac:dyDescent="0.25">
      <c r="A54" s="190"/>
      <c r="B54" s="1324"/>
      <c r="C54" s="1159"/>
      <c r="D54" s="1337" t="s">
        <v>124</v>
      </c>
      <c r="E54" s="1327" t="s">
        <v>124</v>
      </c>
      <c r="F54" s="1326"/>
      <c r="G54" s="297" t="str">
        <f t="shared" si="0"/>
        <v>No</v>
      </c>
      <c r="H54" s="190"/>
      <c r="I54" s="190"/>
      <c r="J54" s="190"/>
      <c r="K54" s="190"/>
      <c r="L54" s="190"/>
      <c r="M54" s="190"/>
      <c r="N54" s="190"/>
      <c r="O54" s="2492" t="str">
        <f t="shared" si="1"/>
        <v/>
      </c>
    </row>
    <row r="55" spans="1:15" x14ac:dyDescent="0.25">
      <c r="A55" s="190"/>
      <c r="B55" s="1324"/>
      <c r="C55" s="1159"/>
      <c r="D55" s="1337" t="s">
        <v>124</v>
      </c>
      <c r="E55" s="1327" t="s">
        <v>124</v>
      </c>
      <c r="F55" s="1326"/>
      <c r="G55" s="297" t="str">
        <f t="shared" si="0"/>
        <v>No</v>
      </c>
      <c r="H55" s="190"/>
      <c r="I55" s="190"/>
      <c r="J55" s="190"/>
      <c r="K55" s="190"/>
      <c r="L55" s="190"/>
      <c r="M55" s="190"/>
      <c r="N55" s="190"/>
      <c r="O55" s="2492" t="str">
        <f t="shared" si="1"/>
        <v/>
      </c>
    </row>
    <row r="56" spans="1:15" x14ac:dyDescent="0.25">
      <c r="A56" s="190"/>
      <c r="B56" s="1324"/>
      <c r="C56" s="1159"/>
      <c r="D56" s="1337" t="s">
        <v>124</v>
      </c>
      <c r="E56" s="1327" t="s">
        <v>124</v>
      </c>
      <c r="F56" s="1326"/>
      <c r="G56" s="297" t="str">
        <f t="shared" si="0"/>
        <v>No</v>
      </c>
      <c r="H56" s="190"/>
      <c r="I56" s="190"/>
      <c r="J56" s="190"/>
      <c r="K56" s="190"/>
      <c r="L56" s="190"/>
      <c r="M56" s="190"/>
      <c r="N56" s="190"/>
      <c r="O56" s="2492" t="str">
        <f t="shared" si="1"/>
        <v/>
      </c>
    </row>
    <row r="57" spans="1:15" x14ac:dyDescent="0.25">
      <c r="A57" s="190"/>
      <c r="B57" s="1324"/>
      <c r="C57" s="1159"/>
      <c r="D57" s="1337" t="s">
        <v>124</v>
      </c>
      <c r="E57" s="1327" t="s">
        <v>124</v>
      </c>
      <c r="F57" s="1326"/>
      <c r="G57" s="297" t="str">
        <f t="shared" si="0"/>
        <v>No</v>
      </c>
      <c r="H57" s="190"/>
      <c r="I57" s="190"/>
      <c r="J57" s="190"/>
      <c r="K57" s="190"/>
      <c r="L57" s="190"/>
      <c r="M57" s="190"/>
      <c r="N57" s="190"/>
      <c r="O57" s="2492" t="str">
        <f t="shared" si="1"/>
        <v/>
      </c>
    </row>
    <row r="58" spans="1:15" ht="15" customHeight="1" x14ac:dyDescent="0.25">
      <c r="A58" s="190"/>
      <c r="B58" s="1324"/>
      <c r="C58" s="1159"/>
      <c r="D58" s="1337" t="s">
        <v>124</v>
      </c>
      <c r="E58" s="1327" t="s">
        <v>124</v>
      </c>
      <c r="F58" s="1326"/>
      <c r="G58" s="297" t="str">
        <f t="shared" si="0"/>
        <v>No</v>
      </c>
      <c r="H58" s="190"/>
      <c r="I58" s="190"/>
      <c r="J58" s="190"/>
      <c r="K58" s="190"/>
      <c r="L58" s="190"/>
      <c r="M58" s="190"/>
      <c r="N58" s="190"/>
      <c r="O58" s="2492" t="str">
        <f t="shared" si="1"/>
        <v/>
      </c>
    </row>
    <row r="59" spans="1:15" ht="15" customHeight="1" x14ac:dyDescent="0.25">
      <c r="A59" s="190"/>
      <c r="B59" s="1324"/>
      <c r="C59" s="1159"/>
      <c r="D59" s="1337" t="s">
        <v>124</v>
      </c>
      <c r="E59" s="1327" t="s">
        <v>124</v>
      </c>
      <c r="F59" s="1326"/>
      <c r="G59" s="297" t="str">
        <f t="shared" si="0"/>
        <v>No</v>
      </c>
      <c r="H59" s="190"/>
      <c r="I59" s="190"/>
      <c r="J59" s="190"/>
      <c r="K59" s="190"/>
      <c r="L59" s="190"/>
      <c r="M59" s="190"/>
      <c r="N59" s="190"/>
      <c r="O59" s="2492" t="str">
        <f t="shared" si="1"/>
        <v/>
      </c>
    </row>
    <row r="60" spans="1:15" ht="15" customHeight="1" x14ac:dyDescent="0.25">
      <c r="A60" s="190"/>
      <c r="B60" s="1324"/>
      <c r="C60" s="1159"/>
      <c r="D60" s="1337" t="s">
        <v>124</v>
      </c>
      <c r="E60" s="1327" t="s">
        <v>124</v>
      </c>
      <c r="F60" s="1326"/>
      <c r="G60" s="297" t="str">
        <f t="shared" si="0"/>
        <v>No</v>
      </c>
      <c r="H60" s="190"/>
      <c r="I60" s="190"/>
      <c r="J60" s="190"/>
      <c r="K60" s="190"/>
      <c r="L60" s="190"/>
      <c r="M60" s="190"/>
      <c r="N60" s="190"/>
      <c r="O60" s="2492" t="str">
        <f t="shared" si="1"/>
        <v/>
      </c>
    </row>
    <row r="61" spans="1:15" ht="15" customHeight="1" x14ac:dyDescent="0.25">
      <c r="A61" s="190"/>
      <c r="B61" s="1324"/>
      <c r="C61" s="1159"/>
      <c r="D61" s="1337" t="s">
        <v>124</v>
      </c>
      <c r="E61" s="1327" t="s">
        <v>124</v>
      </c>
      <c r="F61" s="1326"/>
      <c r="G61" s="297" t="str">
        <f t="shared" si="0"/>
        <v>No</v>
      </c>
      <c r="H61" s="190"/>
      <c r="I61" s="190"/>
      <c r="J61" s="190"/>
      <c r="K61" s="190"/>
      <c r="L61" s="190"/>
      <c r="M61" s="190"/>
      <c r="N61" s="190"/>
      <c r="O61" s="2492" t="str">
        <f t="shared" si="1"/>
        <v/>
      </c>
    </row>
    <row r="62" spans="1:15" ht="15" customHeight="1" x14ac:dyDescent="0.25">
      <c r="A62" s="190"/>
      <c r="B62" s="1324"/>
      <c r="C62" s="1159"/>
      <c r="D62" s="1337" t="s">
        <v>124</v>
      </c>
      <c r="E62" s="1327" t="s">
        <v>124</v>
      </c>
      <c r="F62" s="1326"/>
      <c r="G62" s="297" t="str">
        <f t="shared" si="0"/>
        <v>No</v>
      </c>
      <c r="H62" s="190"/>
      <c r="I62" s="190"/>
      <c r="J62" s="190"/>
      <c r="K62" s="190"/>
      <c r="L62" s="190"/>
      <c r="M62" s="190"/>
      <c r="N62" s="190"/>
      <c r="O62" s="2492" t="str">
        <f t="shared" si="1"/>
        <v/>
      </c>
    </row>
    <row r="63" spans="1:15" ht="15" customHeight="1" x14ac:dyDescent="0.25">
      <c r="A63" s="190"/>
      <c r="B63" s="1324"/>
      <c r="C63" s="1159"/>
      <c r="D63" s="1337" t="s">
        <v>124</v>
      </c>
      <c r="E63" s="1327" t="s">
        <v>124</v>
      </c>
      <c r="F63" s="1326"/>
      <c r="G63" s="297" t="str">
        <f t="shared" si="0"/>
        <v>No</v>
      </c>
      <c r="H63" s="190"/>
      <c r="I63" s="190"/>
      <c r="J63" s="190"/>
      <c r="K63" s="190"/>
      <c r="L63" s="190"/>
      <c r="M63" s="190"/>
      <c r="N63" s="190"/>
      <c r="O63" s="2492" t="str">
        <f t="shared" si="1"/>
        <v/>
      </c>
    </row>
    <row r="64" spans="1:15" ht="15" customHeight="1" x14ac:dyDescent="0.25">
      <c r="A64" s="190"/>
      <c r="B64" s="1324"/>
      <c r="C64" s="1159"/>
      <c r="D64" s="1337" t="s">
        <v>124</v>
      </c>
      <c r="E64" s="1327" t="s">
        <v>124</v>
      </c>
      <c r="F64" s="1326"/>
      <c r="G64" s="297" t="str">
        <f t="shared" si="0"/>
        <v>No</v>
      </c>
      <c r="H64" s="190"/>
      <c r="I64" s="190"/>
      <c r="J64" s="190"/>
      <c r="K64" s="190"/>
      <c r="L64" s="190"/>
      <c r="M64" s="190"/>
      <c r="N64" s="190"/>
      <c r="O64" s="2492" t="str">
        <f t="shared" si="1"/>
        <v/>
      </c>
    </row>
    <row r="65" spans="1:18" ht="15" customHeight="1" x14ac:dyDescent="0.25">
      <c r="A65" s="190"/>
      <c r="B65" s="1324"/>
      <c r="C65" s="1159"/>
      <c r="D65" s="1337" t="s">
        <v>124</v>
      </c>
      <c r="E65" s="1327" t="s">
        <v>124</v>
      </c>
      <c r="F65" s="1326"/>
      <c r="G65" s="297" t="str">
        <f t="shared" si="0"/>
        <v>No</v>
      </c>
      <c r="H65" s="190"/>
      <c r="I65" s="190"/>
      <c r="J65" s="190"/>
      <c r="K65" s="190"/>
      <c r="L65" s="190"/>
      <c r="M65" s="190"/>
      <c r="N65" s="190"/>
      <c r="O65" s="2492" t="str">
        <f t="shared" si="1"/>
        <v/>
      </c>
    </row>
    <row r="66" spans="1:18" ht="15" customHeight="1" x14ac:dyDescent="0.25">
      <c r="A66" s="190"/>
      <c r="B66" s="190"/>
      <c r="C66" s="190"/>
      <c r="D66" s="190"/>
      <c r="E66" s="190"/>
      <c r="F66" s="190"/>
      <c r="G66" s="190"/>
      <c r="H66" s="190"/>
      <c r="I66" s="190"/>
      <c r="J66" s="190"/>
      <c r="K66" s="190"/>
      <c r="L66" s="190"/>
      <c r="M66" s="190"/>
      <c r="N66" s="190"/>
    </row>
    <row r="67" spans="1:18" ht="19.5" customHeight="1" x14ac:dyDescent="0.25">
      <c r="A67" s="190"/>
      <c r="B67" s="1623" t="s">
        <v>2584</v>
      </c>
      <c r="C67" s="1623"/>
      <c r="D67" s="1623"/>
      <c r="E67" s="1623"/>
      <c r="F67" s="222">
        <v>0</v>
      </c>
      <c r="G67" s="190"/>
      <c r="H67" s="190"/>
      <c r="I67" s="190"/>
      <c r="J67" s="190"/>
      <c r="K67" s="190"/>
      <c r="L67" s="190"/>
      <c r="M67" s="190"/>
      <c r="N67" s="190"/>
    </row>
    <row r="68" spans="1:18" ht="21" customHeight="1" x14ac:dyDescent="0.25">
      <c r="A68" s="190"/>
      <c r="B68" s="190"/>
      <c r="C68" s="190"/>
      <c r="D68" s="190"/>
      <c r="E68" s="190"/>
      <c r="F68" s="190"/>
      <c r="G68" s="190"/>
      <c r="H68" s="190"/>
      <c r="I68" s="190"/>
      <c r="J68" s="190"/>
      <c r="K68" s="190"/>
      <c r="L68" s="190"/>
      <c r="M68" s="190"/>
      <c r="N68" s="190"/>
    </row>
    <row r="69" spans="1:18" s="38" customFormat="1" ht="16.5" customHeight="1" x14ac:dyDescent="0.25">
      <c r="A69" s="1592" t="s">
        <v>186</v>
      </c>
      <c r="B69" s="1592"/>
      <c r="C69" s="1592"/>
      <c r="D69" s="190"/>
      <c r="E69" s="190"/>
      <c r="F69" s="190"/>
      <c r="G69" s="190"/>
      <c r="H69" s="190"/>
      <c r="I69" s="190"/>
      <c r="J69" s="190"/>
      <c r="K69" s="190"/>
      <c r="L69" s="190"/>
      <c r="M69" s="190"/>
      <c r="N69" s="190"/>
    </row>
    <row r="70" spans="1:18" s="38" customFormat="1" ht="16.5" customHeight="1" x14ac:dyDescent="0.25">
      <c r="A70" s="190"/>
      <c r="B70" s="190"/>
      <c r="C70" s="190"/>
      <c r="D70" s="190"/>
      <c r="E70" s="190"/>
      <c r="F70" s="190"/>
      <c r="G70" s="190"/>
      <c r="H70" s="190"/>
      <c r="I70" s="190"/>
      <c r="J70" s="190"/>
      <c r="K70" s="190"/>
      <c r="L70" s="190"/>
      <c r="M70" s="190"/>
      <c r="N70" s="190"/>
    </row>
    <row r="71" spans="1:18" s="38" customFormat="1" ht="18" customHeight="1" x14ac:dyDescent="0.25">
      <c r="A71" s="190"/>
      <c r="B71" s="1582" t="s">
        <v>1739</v>
      </c>
      <c r="C71" s="1583"/>
      <c r="D71" s="1583"/>
      <c r="E71" s="1583"/>
      <c r="F71" s="1583"/>
      <c r="G71" s="934" t="s">
        <v>1737</v>
      </c>
      <c r="H71" s="1589" t="s">
        <v>1738</v>
      </c>
      <c r="I71" s="1590"/>
      <c r="J71" s="190"/>
      <c r="K71" s="190"/>
      <c r="L71" s="190"/>
      <c r="M71" s="190"/>
      <c r="N71" s="190"/>
    </row>
    <row r="72" spans="1:18" s="38" customFormat="1" ht="27" customHeight="1" x14ac:dyDescent="0.25">
      <c r="A72" s="190"/>
      <c r="B72" s="1576" t="s">
        <v>2385</v>
      </c>
      <c r="C72" s="1577"/>
      <c r="D72" s="1577"/>
      <c r="E72" s="1577"/>
      <c r="F72" s="1578"/>
      <c r="G72" s="471" t="s">
        <v>124</v>
      </c>
      <c r="H72" s="1587"/>
      <c r="I72" s="1588"/>
      <c r="J72" s="190"/>
      <c r="K72" s="190"/>
      <c r="L72" s="190"/>
      <c r="M72" s="190"/>
      <c r="N72" s="190"/>
    </row>
    <row r="73" spans="1:18" s="38" customFormat="1" ht="24" customHeight="1" x14ac:dyDescent="0.25">
      <c r="A73" s="190"/>
      <c r="B73" s="1576" t="s">
        <v>2384</v>
      </c>
      <c r="C73" s="1577"/>
      <c r="D73" s="1577"/>
      <c r="E73" s="1577"/>
      <c r="F73" s="1578"/>
      <c r="G73" s="471" t="s">
        <v>124</v>
      </c>
      <c r="H73" s="1587"/>
      <c r="I73" s="1588"/>
      <c r="J73" s="190"/>
      <c r="K73" s="190"/>
      <c r="L73" s="190"/>
      <c r="M73" s="190"/>
      <c r="N73" s="190"/>
    </row>
    <row r="74" spans="1:18" s="38" customFormat="1" ht="18" customHeight="1" x14ac:dyDescent="0.25">
      <c r="A74" s="190"/>
      <c r="B74" s="190"/>
      <c r="C74" s="190"/>
      <c r="D74" s="190"/>
      <c r="E74" s="190"/>
      <c r="F74" s="190"/>
      <c r="G74" s="190"/>
      <c r="H74" s="190"/>
      <c r="I74" s="190"/>
      <c r="J74" s="190"/>
      <c r="K74" s="190"/>
      <c r="L74" s="190"/>
      <c r="M74" s="190"/>
      <c r="N74" s="190"/>
    </row>
    <row r="75" spans="1:18" ht="16.5" customHeight="1" x14ac:dyDescent="0.25">
      <c r="A75" s="1592" t="s">
        <v>22</v>
      </c>
      <c r="B75" s="1592"/>
      <c r="C75" s="1592"/>
      <c r="D75" s="190"/>
      <c r="E75" s="190"/>
      <c r="F75" s="190"/>
      <c r="G75" s="190"/>
      <c r="H75" s="190"/>
      <c r="I75" s="190"/>
      <c r="J75" s="190"/>
      <c r="K75" s="190"/>
      <c r="L75" s="190"/>
      <c r="M75" s="190"/>
      <c r="N75" s="190"/>
      <c r="O75" s="38"/>
      <c r="P75" s="38"/>
      <c r="Q75" s="38"/>
      <c r="R75" s="38"/>
    </row>
    <row r="76" spans="1:18" ht="14.25" customHeight="1" x14ac:dyDescent="0.25">
      <c r="A76" s="190"/>
      <c r="B76" s="190"/>
      <c r="C76" s="190"/>
      <c r="D76" s="190"/>
      <c r="E76" s="190"/>
      <c r="F76" s="190"/>
      <c r="G76" s="190"/>
      <c r="H76" s="190"/>
      <c r="I76" s="190"/>
      <c r="J76" s="190"/>
      <c r="K76" s="190"/>
      <c r="L76" s="190"/>
      <c r="M76" s="190"/>
      <c r="N76" s="190"/>
      <c r="O76" s="38"/>
      <c r="P76" s="38"/>
      <c r="Q76" s="38"/>
      <c r="R76" s="38"/>
    </row>
    <row r="77" spans="1:18" ht="18" customHeight="1" x14ac:dyDescent="0.25">
      <c r="A77" s="190"/>
      <c r="B77" s="171" t="s">
        <v>53</v>
      </c>
      <c r="C77" s="1328">
        <f>IF(D35="Prescriptive Path",IFERROR(IF(F67=1,6,IF(F67&gt;=0.7,4,IF(F67&gt;=0.55,3,IF(F67&gt;=0.4,2,IF(F67&gt;=0.25,2,IF(F67&gt;=0.1,1,0)))))),""),"")</f>
        <v>0</v>
      </c>
      <c r="D77" s="190"/>
      <c r="E77" s="190"/>
      <c r="F77" s="190"/>
      <c r="G77" s="190"/>
      <c r="H77" s="190"/>
      <c r="I77" s="190"/>
      <c r="J77" s="190"/>
      <c r="K77" s="190"/>
      <c r="L77" s="190"/>
      <c r="M77" s="190"/>
      <c r="N77" s="190"/>
      <c r="O77" s="38"/>
      <c r="P77" s="38"/>
      <c r="Q77" s="38"/>
      <c r="R77" s="38"/>
    </row>
    <row r="78" spans="1:18" ht="18" customHeight="1" x14ac:dyDescent="0.25">
      <c r="A78" s="190"/>
      <c r="B78" s="171" t="s">
        <v>492</v>
      </c>
      <c r="C78" s="1328" t="str">
        <f>IF(D35="Prescriptive Path",IF(C77&gt;0,IF(COUNTIF(G72:G73,"Submitted")&lt;2,"No","Yes"),"No"),"")</f>
        <v>No</v>
      </c>
      <c r="D78" s="190"/>
      <c r="E78" s="190"/>
      <c r="F78" s="190"/>
      <c r="G78" s="190"/>
      <c r="H78" s="190"/>
      <c r="I78" s="190"/>
      <c r="J78" s="190"/>
      <c r="K78" s="190"/>
      <c r="L78" s="190"/>
      <c r="M78" s="190"/>
      <c r="N78" s="190"/>
      <c r="O78" s="38"/>
      <c r="P78" s="38"/>
      <c r="Q78" s="38"/>
      <c r="R78" s="38"/>
    </row>
    <row r="79" spans="1:18" ht="20.25" customHeight="1" x14ac:dyDescent="0.25">
      <c r="A79" s="190"/>
      <c r="B79" s="190"/>
      <c r="C79" s="190"/>
      <c r="D79" s="190"/>
      <c r="E79" s="190"/>
      <c r="F79" s="190"/>
      <c r="G79" s="190"/>
      <c r="H79" s="190"/>
      <c r="I79" s="190"/>
      <c r="J79" s="190"/>
      <c r="K79" s="190"/>
      <c r="L79" s="190"/>
      <c r="M79" s="190"/>
      <c r="N79" s="190"/>
      <c r="O79" s="38"/>
      <c r="P79" s="38"/>
      <c r="Q79" s="38"/>
      <c r="R79" s="38"/>
    </row>
    <row r="80" spans="1:18" ht="17.25" customHeight="1" x14ac:dyDescent="0.25">
      <c r="A80" s="1591" t="s">
        <v>515</v>
      </c>
      <c r="B80" s="1591"/>
      <c r="C80" s="1591"/>
      <c r="D80" s="1591"/>
      <c r="E80" s="1591"/>
      <c r="F80" s="1591"/>
      <c r="G80" s="1591"/>
      <c r="H80" s="1591"/>
      <c r="I80" s="1591"/>
      <c r="J80" s="1591"/>
      <c r="K80" s="1591"/>
      <c r="L80" s="1591"/>
      <c r="M80" s="1591"/>
      <c r="N80" s="1591"/>
    </row>
    <row r="81" spans="1:14" x14ac:dyDescent="0.25">
      <c r="A81" s="389"/>
      <c r="B81" s="200"/>
      <c r="C81" s="200"/>
      <c r="D81" s="200"/>
      <c r="E81" s="200"/>
      <c r="F81" s="200"/>
      <c r="G81" s="200"/>
      <c r="H81" s="200"/>
      <c r="I81" s="200"/>
      <c r="J81" s="200"/>
      <c r="K81" s="200"/>
      <c r="L81" s="200"/>
      <c r="M81" s="200"/>
      <c r="N81" s="200"/>
    </row>
    <row r="82" spans="1:14" ht="16.5" customHeight="1" x14ac:dyDescent="0.25">
      <c r="A82" s="1592" t="s">
        <v>245</v>
      </c>
      <c r="B82" s="1592"/>
      <c r="C82" s="1592"/>
      <c r="D82" s="200"/>
      <c r="E82" s="200"/>
      <c r="F82" s="200"/>
      <c r="G82" s="200"/>
      <c r="H82" s="200"/>
      <c r="I82" s="200"/>
      <c r="J82" s="200"/>
      <c r="K82" s="200"/>
      <c r="L82" s="200"/>
      <c r="M82" s="200"/>
      <c r="N82" s="200"/>
    </row>
    <row r="83" spans="1:14" x14ac:dyDescent="0.25">
      <c r="A83" s="191"/>
      <c r="B83" s="529"/>
      <c r="C83" s="191"/>
      <c r="D83" s="191"/>
      <c r="E83" s="191"/>
      <c r="F83" s="191"/>
      <c r="G83" s="191"/>
      <c r="H83" s="191"/>
      <c r="I83" s="191"/>
      <c r="J83" s="191"/>
      <c r="K83" s="1750"/>
      <c r="L83" s="1750"/>
      <c r="M83" s="1750"/>
      <c r="N83" s="1750"/>
    </row>
    <row r="84" spans="1:14" x14ac:dyDescent="0.25">
      <c r="A84" s="389"/>
      <c r="B84" s="625" t="s">
        <v>1746</v>
      </c>
      <c r="C84" s="200"/>
      <c r="D84" s="200"/>
      <c r="E84" s="200"/>
      <c r="F84" s="200"/>
      <c r="G84" s="200"/>
      <c r="H84" s="200"/>
      <c r="I84" s="200"/>
      <c r="J84" s="200"/>
      <c r="K84" s="200"/>
      <c r="L84" s="200"/>
      <c r="M84" s="200"/>
      <c r="N84" s="200"/>
    </row>
    <row r="85" spans="1:14" x14ac:dyDescent="0.25">
      <c r="A85" s="389"/>
      <c r="B85" s="528"/>
      <c r="C85" s="200"/>
      <c r="D85" s="200"/>
      <c r="E85" s="200"/>
      <c r="F85" s="200"/>
      <c r="G85" s="200"/>
      <c r="H85" s="200"/>
      <c r="I85" s="200"/>
      <c r="J85" s="200"/>
      <c r="K85" s="200"/>
      <c r="L85" s="200"/>
      <c r="M85" s="200"/>
      <c r="N85" s="200"/>
    </row>
    <row r="86" spans="1:14" x14ac:dyDescent="0.25">
      <c r="A86" s="389"/>
      <c r="B86" s="1754" t="s">
        <v>894</v>
      </c>
      <c r="C86" s="1755"/>
      <c r="D86" s="1755"/>
      <c r="E86" s="1755"/>
      <c r="F86" s="1755"/>
      <c r="G86" s="1755"/>
      <c r="H86" s="1755"/>
      <c r="I86" s="1756"/>
      <c r="J86" s="200"/>
      <c r="K86" s="200"/>
      <c r="L86" s="200"/>
      <c r="M86" s="200"/>
      <c r="N86" s="200"/>
    </row>
    <row r="87" spans="1:14" x14ac:dyDescent="0.25">
      <c r="A87" s="389"/>
      <c r="B87" s="1751" t="s">
        <v>2392</v>
      </c>
      <c r="C87" s="1752"/>
      <c r="D87" s="1752"/>
      <c r="E87" s="1752"/>
      <c r="F87" s="1752"/>
      <c r="G87" s="1752"/>
      <c r="H87" s="1752"/>
      <c r="I87" s="1753"/>
      <c r="J87" s="200"/>
      <c r="K87" s="200"/>
      <c r="L87" s="200"/>
      <c r="M87" s="200"/>
      <c r="N87" s="200"/>
    </row>
    <row r="88" spans="1:14" x14ac:dyDescent="0.25">
      <c r="A88" s="389"/>
      <c r="B88" s="1751"/>
      <c r="C88" s="1752"/>
      <c r="D88" s="1752"/>
      <c r="E88" s="1752"/>
      <c r="F88" s="1752"/>
      <c r="G88" s="1752"/>
      <c r="H88" s="1752"/>
      <c r="I88" s="1753"/>
      <c r="J88" s="200"/>
      <c r="K88" s="200"/>
      <c r="L88" s="200"/>
      <c r="M88" s="200"/>
      <c r="N88" s="200"/>
    </row>
    <row r="89" spans="1:14" ht="15" customHeight="1" x14ac:dyDescent="0.25">
      <c r="A89" s="389"/>
      <c r="B89" s="1751" t="s">
        <v>2393</v>
      </c>
      <c r="C89" s="1752"/>
      <c r="D89" s="1752"/>
      <c r="E89" s="1752"/>
      <c r="F89" s="1752"/>
      <c r="G89" s="1752"/>
      <c r="H89" s="1752"/>
      <c r="I89" s="1753"/>
      <c r="J89" s="200"/>
      <c r="K89" s="200"/>
      <c r="L89" s="200"/>
      <c r="M89" s="200"/>
      <c r="N89" s="200"/>
    </row>
    <row r="90" spans="1:14" x14ac:dyDescent="0.25">
      <c r="A90" s="389"/>
      <c r="B90" s="1751"/>
      <c r="C90" s="1752"/>
      <c r="D90" s="1752"/>
      <c r="E90" s="1752"/>
      <c r="F90" s="1752"/>
      <c r="G90" s="1752"/>
      <c r="H90" s="1752"/>
      <c r="I90" s="1753"/>
      <c r="J90" s="200"/>
      <c r="K90" s="200"/>
      <c r="L90" s="200"/>
      <c r="M90" s="200"/>
      <c r="N90" s="200"/>
    </row>
    <row r="91" spans="1:14" x14ac:dyDescent="0.25">
      <c r="A91" s="389"/>
      <c r="B91" s="1757" t="s">
        <v>2394</v>
      </c>
      <c r="C91" s="1758"/>
      <c r="D91" s="1758"/>
      <c r="E91" s="1758"/>
      <c r="F91" s="1758"/>
      <c r="G91" s="1758"/>
      <c r="H91" s="1758"/>
      <c r="I91" s="1759"/>
      <c r="J91" s="200"/>
      <c r="K91" s="200"/>
      <c r="L91" s="200"/>
      <c r="M91" s="200"/>
      <c r="N91" s="200"/>
    </row>
    <row r="92" spans="1:14" x14ac:dyDescent="0.25">
      <c r="A92" s="389"/>
      <c r="B92" s="1757" t="s">
        <v>2395</v>
      </c>
      <c r="C92" s="1758"/>
      <c r="D92" s="1758"/>
      <c r="E92" s="1758"/>
      <c r="F92" s="1758"/>
      <c r="G92" s="1758"/>
      <c r="H92" s="1758"/>
      <c r="I92" s="1759"/>
      <c r="J92" s="200"/>
      <c r="K92" s="200"/>
      <c r="L92" s="200"/>
      <c r="M92" s="200"/>
      <c r="N92" s="200"/>
    </row>
    <row r="93" spans="1:14" x14ac:dyDescent="0.25">
      <c r="A93" s="389"/>
      <c r="B93" s="1760" t="s">
        <v>2396</v>
      </c>
      <c r="C93" s="1761"/>
      <c r="D93" s="1761"/>
      <c r="E93" s="1761"/>
      <c r="F93" s="1761"/>
      <c r="G93" s="1761"/>
      <c r="H93" s="1761"/>
      <c r="I93" s="1762"/>
      <c r="J93" s="200"/>
      <c r="K93" s="200"/>
      <c r="L93" s="200"/>
      <c r="M93" s="200"/>
      <c r="N93" s="200"/>
    </row>
    <row r="94" spans="1:14" x14ac:dyDescent="0.25">
      <c r="A94" s="389"/>
      <c r="B94" s="626"/>
      <c r="C94" s="200"/>
      <c r="D94" s="200"/>
      <c r="E94" s="200"/>
      <c r="F94" s="200"/>
      <c r="G94" s="200"/>
      <c r="H94" s="200"/>
      <c r="I94" s="200"/>
      <c r="J94" s="200"/>
      <c r="K94" s="200"/>
      <c r="L94" s="200"/>
      <c r="M94" s="200"/>
      <c r="N94" s="200"/>
    </row>
    <row r="95" spans="1:14" x14ac:dyDescent="0.25">
      <c r="A95" s="389"/>
      <c r="B95" s="200"/>
      <c r="C95" s="200"/>
      <c r="D95" s="200"/>
      <c r="E95" s="200"/>
      <c r="F95" s="200"/>
      <c r="G95" s="200"/>
      <c r="H95" s="200"/>
      <c r="I95" s="200"/>
      <c r="J95" s="200"/>
      <c r="K95" s="200"/>
      <c r="L95" s="200"/>
      <c r="M95" s="200"/>
      <c r="N95" s="200"/>
    </row>
    <row r="96" spans="1:14" ht="16.5" customHeight="1" x14ac:dyDescent="0.25">
      <c r="A96" s="1592" t="s">
        <v>23</v>
      </c>
      <c r="B96" s="1592"/>
      <c r="C96" s="1592"/>
      <c r="D96" s="200"/>
      <c r="E96" s="200"/>
      <c r="F96" s="200"/>
      <c r="G96" s="200"/>
      <c r="H96" s="200"/>
      <c r="I96" s="200"/>
      <c r="J96" s="200"/>
      <c r="K96" s="200"/>
      <c r="L96" s="200"/>
      <c r="M96" s="200"/>
      <c r="N96" s="200"/>
    </row>
    <row r="97" spans="1:15" ht="11.25" customHeight="1" x14ac:dyDescent="0.25">
      <c r="A97" s="200"/>
      <c r="B97" s="200"/>
      <c r="C97" s="200"/>
      <c r="D97" s="200"/>
      <c r="E97" s="200"/>
      <c r="F97" s="200"/>
      <c r="G97" s="200"/>
      <c r="H97" s="200"/>
      <c r="I97" s="200"/>
      <c r="J97" s="200"/>
      <c r="K97" s="200"/>
      <c r="L97" s="200"/>
      <c r="M97" s="200"/>
      <c r="N97" s="200"/>
    </row>
    <row r="98" spans="1:15" ht="17.25" customHeight="1" x14ac:dyDescent="0.25">
      <c r="A98" s="200"/>
      <c r="B98" s="633" t="s">
        <v>1747</v>
      </c>
      <c r="C98" s="200"/>
      <c r="D98" s="200"/>
      <c r="E98" s="200"/>
      <c r="F98" s="200"/>
      <c r="G98" s="200"/>
      <c r="H98" s="200"/>
      <c r="I98" s="200"/>
      <c r="J98" s="200"/>
      <c r="K98" s="200"/>
      <c r="L98" s="200"/>
      <c r="M98" s="200"/>
      <c r="N98" s="200"/>
    </row>
    <row r="99" spans="1:15" ht="9.75" customHeight="1" x14ac:dyDescent="0.25">
      <c r="A99" s="200"/>
      <c r="B99" s="200"/>
      <c r="C99" s="200"/>
      <c r="D99" s="200"/>
      <c r="E99" s="200"/>
      <c r="F99" s="200"/>
      <c r="G99" s="200"/>
      <c r="H99" s="200"/>
      <c r="I99" s="200"/>
      <c r="J99" s="200"/>
      <c r="K99" s="200"/>
      <c r="L99" s="200"/>
      <c r="M99" s="200"/>
      <c r="N99" s="200"/>
    </row>
    <row r="100" spans="1:15" ht="40.5" customHeight="1" x14ac:dyDescent="0.25">
      <c r="A100" s="200"/>
      <c r="B100" s="1343" t="s">
        <v>1874</v>
      </c>
      <c r="C100" s="512" t="s">
        <v>2670</v>
      </c>
      <c r="D100" s="480" t="s">
        <v>532</v>
      </c>
      <c r="E100" s="480" t="s">
        <v>1546</v>
      </c>
      <c r="F100" s="480" t="s">
        <v>561</v>
      </c>
      <c r="G100" s="480" t="s">
        <v>562</v>
      </c>
      <c r="H100" s="480" t="s">
        <v>563</v>
      </c>
      <c r="I100" s="480" t="s">
        <v>893</v>
      </c>
      <c r="J100" s="482" t="s">
        <v>560</v>
      </c>
      <c r="K100" s="200"/>
      <c r="L100" s="200"/>
      <c r="M100" s="200"/>
      <c r="N100" s="200"/>
      <c r="O100" s="200"/>
    </row>
    <row r="101" spans="1:15" ht="15" customHeight="1" x14ac:dyDescent="0.25">
      <c r="A101" s="200"/>
      <c r="B101" s="266"/>
      <c r="C101" s="519"/>
      <c r="D101" s="519"/>
      <c r="E101" s="516" t="s">
        <v>124</v>
      </c>
      <c r="F101" s="516" t="s">
        <v>124</v>
      </c>
      <c r="G101" s="519" t="s">
        <v>124</v>
      </c>
      <c r="H101" s="519"/>
      <c r="I101" s="459"/>
      <c r="J101" s="513" t="str">
        <f t="shared" ref="J101:J110" si="2">IF(OR(E101="No",F101="No",G101="No",I101&gt;1,H101&gt;15),"No",IF(OR(E101="Select",F101="Select",G101="Select",H101="",I101=""),"",IF(G101="on adjacent walls",IF(H101&lt;3,"No","Yes"),"Yes")))</f>
        <v/>
      </c>
      <c r="K101" s="200"/>
      <c r="L101" s="200"/>
      <c r="M101" s="200"/>
      <c r="N101" s="200"/>
      <c r="O101" s="200"/>
    </row>
    <row r="102" spans="1:15" ht="15" customHeight="1" x14ac:dyDescent="0.25">
      <c r="A102" s="200"/>
      <c r="B102" s="266"/>
      <c r="C102" s="519"/>
      <c r="D102" s="486"/>
      <c r="E102" s="516" t="s">
        <v>124</v>
      </c>
      <c r="F102" s="516" t="s">
        <v>124</v>
      </c>
      <c r="G102" s="519" t="s">
        <v>124</v>
      </c>
      <c r="H102" s="519"/>
      <c r="I102" s="459"/>
      <c r="J102" s="481" t="str">
        <f t="shared" si="2"/>
        <v/>
      </c>
      <c r="K102" s="200"/>
      <c r="L102" s="200"/>
      <c r="M102" s="200"/>
      <c r="N102" s="200"/>
      <c r="O102" s="200"/>
    </row>
    <row r="103" spans="1:15" ht="15" customHeight="1" x14ac:dyDescent="0.25">
      <c r="A103" s="200"/>
      <c r="B103" s="871"/>
      <c r="C103" s="874"/>
      <c r="D103" s="874"/>
      <c r="E103" s="873" t="s">
        <v>124</v>
      </c>
      <c r="F103" s="873" t="s">
        <v>124</v>
      </c>
      <c r="G103" s="874" t="s">
        <v>124</v>
      </c>
      <c r="H103" s="874"/>
      <c r="I103" s="459"/>
      <c r="J103" s="872" t="str">
        <f t="shared" ref="J103:J105" si="3">IF(OR(E103="No",F103="No",G103="No",I103&gt;1,H103&gt;15),"No",IF(OR(E103="Select",F103="Select",G103="Select",H103="",I103=""),"",IF(G103="on adjacent walls",IF(H103&lt;3,"No","Yes"),"Yes")))</f>
        <v/>
      </c>
      <c r="K103" s="200"/>
      <c r="L103" s="200"/>
      <c r="M103" s="200"/>
      <c r="N103" s="200"/>
      <c r="O103" s="200"/>
    </row>
    <row r="104" spans="1:15" ht="15" customHeight="1" x14ac:dyDescent="0.25">
      <c r="A104" s="200"/>
      <c r="B104" s="871"/>
      <c r="C104" s="874"/>
      <c r="D104" s="874"/>
      <c r="E104" s="873" t="s">
        <v>124</v>
      </c>
      <c r="F104" s="873" t="s">
        <v>124</v>
      </c>
      <c r="G104" s="874" t="s">
        <v>124</v>
      </c>
      <c r="H104" s="874"/>
      <c r="I104" s="459"/>
      <c r="J104" s="872" t="str">
        <f t="shared" si="3"/>
        <v/>
      </c>
      <c r="K104" s="200"/>
      <c r="L104" s="200"/>
      <c r="M104" s="200"/>
      <c r="N104" s="200"/>
      <c r="O104" s="200"/>
    </row>
    <row r="105" spans="1:15" ht="15" customHeight="1" x14ac:dyDescent="0.25">
      <c r="A105" s="200"/>
      <c r="B105" s="871"/>
      <c r="C105" s="874"/>
      <c r="D105" s="874"/>
      <c r="E105" s="873" t="s">
        <v>124</v>
      </c>
      <c r="F105" s="873" t="s">
        <v>124</v>
      </c>
      <c r="G105" s="874" t="s">
        <v>124</v>
      </c>
      <c r="H105" s="874"/>
      <c r="I105" s="459"/>
      <c r="J105" s="872" t="str">
        <f t="shared" si="3"/>
        <v/>
      </c>
      <c r="K105" s="200"/>
      <c r="L105" s="200"/>
      <c r="M105" s="200"/>
      <c r="N105" s="200"/>
      <c r="O105" s="200"/>
    </row>
    <row r="106" spans="1:15" ht="15" customHeight="1" x14ac:dyDescent="0.25">
      <c r="A106" s="200"/>
      <c r="B106" s="266"/>
      <c r="C106" s="519"/>
      <c r="D106" s="486"/>
      <c r="E106" s="484" t="s">
        <v>124</v>
      </c>
      <c r="F106" s="484" t="s">
        <v>124</v>
      </c>
      <c r="G106" s="486" t="s">
        <v>124</v>
      </c>
      <c r="H106" s="486"/>
      <c r="I106" s="459"/>
      <c r="J106" s="513" t="str">
        <f t="shared" si="2"/>
        <v/>
      </c>
      <c r="K106" s="200"/>
      <c r="L106" s="200"/>
      <c r="M106" s="200"/>
      <c r="N106" s="200"/>
      <c r="O106" s="200"/>
    </row>
    <row r="107" spans="1:15" ht="15" customHeight="1" x14ac:dyDescent="0.25">
      <c r="A107" s="200"/>
      <c r="B107" s="514"/>
      <c r="C107" s="519"/>
      <c r="D107" s="519"/>
      <c r="E107" s="516" t="s">
        <v>124</v>
      </c>
      <c r="F107" s="516" t="s">
        <v>124</v>
      </c>
      <c r="G107" s="519" t="s">
        <v>124</v>
      </c>
      <c r="H107" s="519"/>
      <c r="I107" s="459"/>
      <c r="J107" s="513" t="str">
        <f t="shared" si="2"/>
        <v/>
      </c>
      <c r="K107" s="200"/>
      <c r="L107" s="200"/>
      <c r="M107" s="200"/>
      <c r="N107" s="200"/>
      <c r="O107" s="200"/>
    </row>
    <row r="108" spans="1:15" ht="15" customHeight="1" x14ac:dyDescent="0.25">
      <c r="A108" s="200"/>
      <c r="B108" s="514"/>
      <c r="C108" s="519"/>
      <c r="D108" s="519"/>
      <c r="E108" s="516" t="s">
        <v>124</v>
      </c>
      <c r="F108" s="516" t="s">
        <v>124</v>
      </c>
      <c r="G108" s="519" t="s">
        <v>124</v>
      </c>
      <c r="H108" s="519"/>
      <c r="I108" s="459"/>
      <c r="J108" s="513" t="str">
        <f t="shared" si="2"/>
        <v/>
      </c>
      <c r="K108" s="200"/>
      <c r="L108" s="200"/>
      <c r="M108" s="200"/>
      <c r="N108" s="200"/>
      <c r="O108" s="200"/>
    </row>
    <row r="109" spans="1:15" ht="15" customHeight="1" x14ac:dyDescent="0.25">
      <c r="A109" s="200"/>
      <c r="B109" s="266"/>
      <c r="C109" s="519"/>
      <c r="D109" s="486"/>
      <c r="E109" s="484" t="s">
        <v>124</v>
      </c>
      <c r="F109" s="484" t="s">
        <v>124</v>
      </c>
      <c r="G109" s="486" t="s">
        <v>124</v>
      </c>
      <c r="H109" s="486"/>
      <c r="I109" s="459"/>
      <c r="J109" s="513" t="str">
        <f t="shared" si="2"/>
        <v/>
      </c>
      <c r="K109" s="200"/>
      <c r="L109" s="200"/>
      <c r="M109" s="200"/>
      <c r="N109" s="200"/>
      <c r="O109" s="200"/>
    </row>
    <row r="110" spans="1:15" ht="15" customHeight="1" x14ac:dyDescent="0.25">
      <c r="A110" s="200"/>
      <c r="B110" s="266"/>
      <c r="C110" s="519"/>
      <c r="D110" s="486"/>
      <c r="E110" s="484" t="s">
        <v>124</v>
      </c>
      <c r="F110" s="484" t="s">
        <v>124</v>
      </c>
      <c r="G110" s="486" t="s">
        <v>124</v>
      </c>
      <c r="H110" s="486"/>
      <c r="I110" s="459"/>
      <c r="J110" s="513" t="str">
        <f t="shared" si="2"/>
        <v/>
      </c>
      <c r="K110" s="200"/>
      <c r="L110" s="200"/>
      <c r="M110" s="200"/>
      <c r="N110" s="200"/>
      <c r="O110" s="200"/>
    </row>
    <row r="111" spans="1:15" ht="15" customHeight="1" x14ac:dyDescent="0.25">
      <c r="A111" s="200"/>
      <c r="B111" s="200"/>
      <c r="C111" s="200"/>
      <c r="D111" s="200"/>
      <c r="E111" s="200"/>
      <c r="F111" s="200"/>
      <c r="G111" s="200"/>
      <c r="H111" s="200"/>
      <c r="I111" s="200"/>
      <c r="J111" s="200"/>
      <c r="K111" s="200"/>
      <c r="L111" s="200"/>
      <c r="M111" s="200"/>
      <c r="N111" s="200"/>
    </row>
    <row r="112" spans="1:15" ht="18" customHeight="1" x14ac:dyDescent="0.25">
      <c r="A112" s="200"/>
      <c r="B112" s="1721" t="s">
        <v>1748</v>
      </c>
      <c r="C112" s="1721"/>
      <c r="D112" s="1721"/>
      <c r="E112" s="1721"/>
      <c r="F112" s="268" t="str">
        <f>IFERROR(SUMIF(J101:J110,"Yes",C101:C110)/SUM(C101:C110),"")</f>
        <v/>
      </c>
      <c r="G112" s="200"/>
      <c r="H112" s="200"/>
      <c r="I112" s="200"/>
      <c r="J112" s="200"/>
      <c r="K112" s="200"/>
      <c r="L112" s="200"/>
      <c r="M112" s="200"/>
      <c r="N112" s="200"/>
    </row>
    <row r="113" spans="1:19" ht="19.5" customHeight="1" x14ac:dyDescent="0.25">
      <c r="A113" s="200"/>
      <c r="B113" s="200"/>
      <c r="C113" s="200"/>
      <c r="D113" s="200"/>
      <c r="E113" s="200"/>
      <c r="F113" s="200"/>
      <c r="G113" s="200"/>
      <c r="H113" s="200"/>
      <c r="I113" s="200"/>
      <c r="J113" s="200"/>
      <c r="K113" s="200"/>
      <c r="L113" s="200"/>
      <c r="M113" s="200"/>
      <c r="N113" s="200"/>
    </row>
    <row r="114" spans="1:19" s="38" customFormat="1" ht="16.5" customHeight="1" x14ac:dyDescent="0.25">
      <c r="A114" s="1592" t="s">
        <v>186</v>
      </c>
      <c r="B114" s="1592"/>
      <c r="C114" s="1592"/>
      <c r="D114" s="200"/>
      <c r="E114" s="200"/>
      <c r="F114" s="200"/>
      <c r="G114" s="200"/>
      <c r="H114" s="200"/>
      <c r="I114" s="200"/>
      <c r="J114" s="200"/>
      <c r="K114" s="200"/>
      <c r="L114" s="200"/>
      <c r="M114" s="200"/>
      <c r="N114" s="200"/>
    </row>
    <row r="115" spans="1:19" s="38" customFormat="1" x14ac:dyDescent="0.25">
      <c r="A115" s="200"/>
      <c r="B115" s="200"/>
      <c r="C115" s="200"/>
      <c r="D115" s="200"/>
      <c r="E115" s="200"/>
      <c r="F115" s="200"/>
      <c r="G115" s="200"/>
      <c r="H115" s="200"/>
      <c r="I115" s="200"/>
      <c r="J115" s="200"/>
      <c r="K115" s="200"/>
      <c r="L115" s="200"/>
      <c r="M115" s="200"/>
      <c r="N115" s="200"/>
    </row>
    <row r="116" spans="1:19" s="38" customFormat="1" ht="18" customHeight="1" x14ac:dyDescent="0.25">
      <c r="A116" s="200"/>
      <c r="B116" s="1582" t="s">
        <v>1739</v>
      </c>
      <c r="C116" s="1583"/>
      <c r="D116" s="1583"/>
      <c r="E116" s="1583"/>
      <c r="F116" s="1583"/>
      <c r="G116" s="934" t="s">
        <v>1737</v>
      </c>
      <c r="H116" s="1589" t="s">
        <v>1738</v>
      </c>
      <c r="I116" s="1590"/>
      <c r="J116" s="200"/>
      <c r="K116" s="200"/>
      <c r="L116" s="200"/>
      <c r="M116" s="200"/>
      <c r="N116" s="200"/>
    </row>
    <row r="117" spans="1:19" s="38" customFormat="1" ht="24" customHeight="1" x14ac:dyDescent="0.25">
      <c r="A117" s="200"/>
      <c r="B117" s="1576" t="s">
        <v>1109</v>
      </c>
      <c r="C117" s="1577"/>
      <c r="D117" s="1577"/>
      <c r="E117" s="1577"/>
      <c r="F117" s="1578"/>
      <c r="G117" s="471" t="s">
        <v>124</v>
      </c>
      <c r="H117" s="1587"/>
      <c r="I117" s="1588"/>
      <c r="J117" s="200"/>
      <c r="K117" s="200"/>
      <c r="L117" s="200"/>
      <c r="M117" s="200"/>
      <c r="N117" s="200"/>
    </row>
    <row r="118" spans="1:19" s="38" customFormat="1" ht="24" customHeight="1" x14ac:dyDescent="0.25">
      <c r="A118" s="200"/>
      <c r="B118" s="1576" t="s">
        <v>1110</v>
      </c>
      <c r="C118" s="1577"/>
      <c r="D118" s="1577"/>
      <c r="E118" s="1577"/>
      <c r="F118" s="1578"/>
      <c r="G118" s="471" t="s">
        <v>124</v>
      </c>
      <c r="H118" s="1587"/>
      <c r="I118" s="1588"/>
      <c r="J118" s="200"/>
      <c r="K118" s="200"/>
      <c r="L118" s="200"/>
      <c r="M118" s="200"/>
      <c r="N118" s="200"/>
    </row>
    <row r="119" spans="1:19" ht="18" customHeight="1" x14ac:dyDescent="0.25">
      <c r="A119" s="200"/>
      <c r="B119" s="200"/>
      <c r="C119" s="200"/>
      <c r="D119" s="200"/>
      <c r="E119" s="200"/>
      <c r="F119" s="200"/>
      <c r="G119" s="200"/>
      <c r="H119" s="200"/>
      <c r="I119" s="200"/>
      <c r="J119" s="200"/>
      <c r="K119" s="200"/>
      <c r="L119" s="200"/>
      <c r="M119" s="200"/>
      <c r="N119" s="200"/>
    </row>
    <row r="120" spans="1:19" ht="16.5" customHeight="1" x14ac:dyDescent="0.25">
      <c r="A120" s="1592" t="s">
        <v>22</v>
      </c>
      <c r="B120" s="1592"/>
      <c r="C120" s="1592"/>
      <c r="D120" s="200"/>
      <c r="E120" s="200"/>
      <c r="F120" s="200"/>
      <c r="G120" s="200"/>
      <c r="H120" s="200"/>
      <c r="I120" s="200"/>
      <c r="J120" s="200"/>
      <c r="K120" s="200"/>
      <c r="L120" s="200"/>
      <c r="M120" s="200"/>
      <c r="N120" s="200"/>
      <c r="O120" s="38"/>
      <c r="P120" s="38"/>
      <c r="Q120" s="38"/>
      <c r="R120" s="38"/>
      <c r="S120" s="38"/>
    </row>
    <row r="121" spans="1:19" ht="14.25" customHeight="1" x14ac:dyDescent="0.25">
      <c r="A121" s="200"/>
      <c r="B121" s="200"/>
      <c r="C121" s="200"/>
      <c r="D121" s="200"/>
      <c r="E121" s="200"/>
      <c r="F121" s="200"/>
      <c r="G121" s="200"/>
      <c r="H121" s="200"/>
      <c r="I121" s="200"/>
      <c r="J121" s="200"/>
      <c r="K121" s="200"/>
      <c r="L121" s="200"/>
      <c r="M121" s="200"/>
      <c r="N121" s="200"/>
    </row>
    <row r="122" spans="1:19" ht="18" customHeight="1" x14ac:dyDescent="0.25">
      <c r="A122" s="200"/>
      <c r="B122" s="171" t="s">
        <v>53</v>
      </c>
      <c r="C122" s="1328" t="str">
        <f>IF(D35="Performance Path",IF(F112="",0,IF(F112&gt;=0.8,4,IF(F112&gt;=0.6,3,IF(F112&gt;=0.4,2,IF(F112&gt;=0.2,1,))))),"")</f>
        <v/>
      </c>
      <c r="D122" s="200"/>
      <c r="E122" s="200"/>
      <c r="F122" s="200"/>
      <c r="G122" s="200"/>
      <c r="H122" s="200"/>
      <c r="I122" s="200"/>
      <c r="J122" s="200"/>
      <c r="K122" s="200"/>
      <c r="L122" s="200"/>
      <c r="M122" s="200"/>
      <c r="N122" s="200"/>
    </row>
    <row r="123" spans="1:19" ht="18" customHeight="1" x14ac:dyDescent="0.25">
      <c r="A123" s="200"/>
      <c r="B123" s="171" t="s">
        <v>492</v>
      </c>
      <c r="C123" s="1328" t="str">
        <f>IF(D35="Performance Path",IF(C122&gt;=1,IF(COUNTIF(G117:G118,"Submitted")&lt;2,"No","Yes"),"Yes"),"")</f>
        <v/>
      </c>
      <c r="D123" s="200"/>
      <c r="E123" s="200"/>
      <c r="F123" s="200"/>
      <c r="G123" s="200"/>
      <c r="H123" s="200"/>
      <c r="I123" s="200"/>
      <c r="J123" s="200"/>
      <c r="K123" s="200"/>
      <c r="L123" s="200"/>
      <c r="M123" s="200"/>
      <c r="N123" s="200"/>
    </row>
    <row r="124" spans="1:19" ht="20.25" customHeight="1" x14ac:dyDescent="0.25">
      <c r="A124" s="200"/>
      <c r="B124" s="200"/>
      <c r="C124" s="200"/>
      <c r="D124" s="200"/>
      <c r="E124" s="200"/>
      <c r="F124" s="200"/>
      <c r="G124" s="200"/>
      <c r="H124" s="200"/>
      <c r="I124" s="200"/>
      <c r="J124" s="200"/>
      <c r="K124" s="200"/>
      <c r="L124" s="200"/>
      <c r="M124" s="200"/>
      <c r="N124" s="200"/>
    </row>
    <row r="125" spans="1:19" ht="18" customHeight="1" x14ac:dyDescent="0.25">
      <c r="A125" s="1591" t="s">
        <v>20</v>
      </c>
      <c r="B125" s="1591"/>
      <c r="C125" s="1591"/>
      <c r="D125" s="1591"/>
      <c r="E125" s="1591"/>
      <c r="F125" s="1591"/>
      <c r="G125" s="1591"/>
      <c r="H125" s="1591"/>
      <c r="I125" s="1591"/>
      <c r="J125" s="1591"/>
      <c r="K125" s="1591"/>
      <c r="L125" s="1591"/>
      <c r="M125" s="1591"/>
      <c r="N125" s="1591"/>
    </row>
    <row r="126" spans="1:19" ht="16.5" customHeight="1" x14ac:dyDescent="0.25">
      <c r="A126" s="4"/>
      <c r="B126" s="4"/>
      <c r="C126" s="4"/>
      <c r="D126" s="4"/>
      <c r="E126" s="4"/>
      <c r="F126" s="4"/>
      <c r="G126" s="5"/>
      <c r="H126" s="5"/>
      <c r="I126" s="5"/>
      <c r="J126" s="5"/>
      <c r="K126" s="5"/>
      <c r="L126" s="5"/>
      <c r="M126" s="5"/>
      <c r="N126" s="5"/>
    </row>
    <row r="127" spans="1:19" ht="18" customHeight="1" x14ac:dyDescent="0.25">
      <c r="A127" s="4"/>
      <c r="B127" s="1679" t="s">
        <v>232</v>
      </c>
      <c r="C127" s="1680"/>
      <c r="D127" s="242" t="s">
        <v>124</v>
      </c>
      <c r="E127" s="4"/>
      <c r="F127" s="4"/>
      <c r="G127" s="5"/>
      <c r="H127" s="5"/>
      <c r="I127" s="5"/>
      <c r="J127" s="5"/>
      <c r="K127" s="5"/>
      <c r="L127" s="5"/>
      <c r="M127" s="5"/>
      <c r="N127" s="5"/>
    </row>
    <row r="128" spans="1:19" ht="16.5" customHeight="1" x14ac:dyDescent="0.25">
      <c r="A128" s="4"/>
      <c r="B128" s="4"/>
      <c r="C128" s="4"/>
      <c r="D128" s="4"/>
      <c r="E128" s="4"/>
      <c r="F128" s="4"/>
      <c r="G128" s="5"/>
      <c r="H128" s="5"/>
      <c r="I128" s="5"/>
      <c r="J128" s="5"/>
      <c r="K128" s="5"/>
      <c r="L128" s="5"/>
      <c r="M128" s="5"/>
      <c r="N128" s="5"/>
    </row>
    <row r="129" spans="1:14" ht="17.25" customHeight="1" x14ac:dyDescent="0.25">
      <c r="A129" s="1591" t="s">
        <v>2218</v>
      </c>
      <c r="B129" s="1591"/>
      <c r="C129" s="1591"/>
      <c r="D129" s="1591"/>
      <c r="E129" s="1591"/>
      <c r="F129" s="1591"/>
      <c r="G129" s="1591"/>
      <c r="H129" s="1591"/>
      <c r="I129" s="1591"/>
      <c r="J129" s="1591"/>
      <c r="K129" s="1591"/>
      <c r="L129" s="1591"/>
      <c r="M129" s="1591"/>
      <c r="N129" s="1591"/>
    </row>
    <row r="130" spans="1:14" x14ac:dyDescent="0.25">
      <c r="A130" s="269"/>
      <c r="B130" s="190"/>
      <c r="C130" s="190"/>
      <c r="D130" s="190"/>
      <c r="E130" s="190"/>
      <c r="F130" s="190"/>
      <c r="G130" s="190"/>
      <c r="H130" s="190"/>
      <c r="I130" s="190"/>
      <c r="J130" s="190"/>
      <c r="K130" s="190"/>
      <c r="L130" s="190"/>
      <c r="M130" s="190"/>
      <c r="N130" s="190"/>
    </row>
    <row r="131" spans="1:14" ht="16.5" customHeight="1" x14ac:dyDescent="0.25">
      <c r="A131" s="1592" t="s">
        <v>245</v>
      </c>
      <c r="B131" s="1592"/>
      <c r="C131" s="1592"/>
      <c r="D131" s="190"/>
      <c r="E131" s="190"/>
      <c r="F131" s="190"/>
      <c r="G131" s="190"/>
      <c r="H131" s="190"/>
      <c r="I131" s="190"/>
      <c r="J131" s="190"/>
      <c r="K131" s="190"/>
      <c r="L131" s="190"/>
      <c r="M131" s="190"/>
      <c r="N131" s="190"/>
    </row>
    <row r="132" spans="1:14" x14ac:dyDescent="0.25">
      <c r="A132" s="269"/>
      <c r="B132" s="190"/>
      <c r="C132" s="190"/>
      <c r="D132" s="190"/>
      <c r="E132" s="190"/>
      <c r="F132" s="190"/>
      <c r="G132" s="190"/>
      <c r="H132" s="190"/>
      <c r="I132" s="190"/>
      <c r="J132" s="190"/>
      <c r="K132" s="190"/>
      <c r="L132" s="190"/>
      <c r="M132" s="190"/>
      <c r="N132" s="190"/>
    </row>
    <row r="133" spans="1:14" ht="27" customHeight="1" x14ac:dyDescent="0.25">
      <c r="A133" s="269"/>
      <c r="B133" s="1701" t="s">
        <v>2590</v>
      </c>
      <c r="C133" s="1702"/>
      <c r="D133" s="1702"/>
      <c r="E133" s="1702"/>
      <c r="F133" s="1702"/>
      <c r="G133" s="1702"/>
      <c r="H133" s="1702"/>
      <c r="I133" s="1702"/>
      <c r="J133" s="1703"/>
      <c r="K133" s="190"/>
      <c r="L133" s="190"/>
      <c r="M133" s="190"/>
      <c r="N133" s="190"/>
    </row>
    <row r="134" spans="1:14" x14ac:dyDescent="0.25">
      <c r="A134" s="269"/>
      <c r="B134" s="1698" t="s">
        <v>1108</v>
      </c>
      <c r="C134" s="1699"/>
      <c r="D134" s="1699"/>
      <c r="E134" s="1699"/>
      <c r="F134" s="1699"/>
      <c r="G134" s="1699"/>
      <c r="H134" s="1699"/>
      <c r="I134" s="1699"/>
      <c r="J134" s="1700"/>
      <c r="K134" s="190"/>
      <c r="L134" s="190"/>
      <c r="M134" s="190"/>
      <c r="N134" s="190"/>
    </row>
    <row r="135" spans="1:14" ht="31.5" customHeight="1" x14ac:dyDescent="0.25">
      <c r="A135" s="269"/>
      <c r="B135" s="1704" t="s">
        <v>2591</v>
      </c>
      <c r="C135" s="1705"/>
      <c r="D135" s="1705"/>
      <c r="E135" s="1705"/>
      <c r="F135" s="1705"/>
      <c r="G135" s="1705"/>
      <c r="H135" s="1705"/>
      <c r="I135" s="1705"/>
      <c r="J135" s="1706"/>
      <c r="K135" s="190"/>
      <c r="L135" s="190"/>
      <c r="M135" s="190"/>
      <c r="N135" s="190"/>
    </row>
    <row r="136" spans="1:14" ht="21.75" customHeight="1" x14ac:dyDescent="0.25">
      <c r="A136" s="269"/>
      <c r="B136" s="190"/>
      <c r="C136" s="190"/>
      <c r="D136" s="190"/>
      <c r="E136" s="190"/>
      <c r="F136" s="190"/>
      <c r="G136" s="190"/>
      <c r="H136" s="190"/>
      <c r="I136" s="190"/>
      <c r="J136" s="190"/>
      <c r="K136" s="190"/>
      <c r="L136" s="190"/>
      <c r="M136" s="190"/>
      <c r="N136" s="190"/>
    </row>
    <row r="137" spans="1:14" ht="16.5" customHeight="1" x14ac:dyDescent="0.25">
      <c r="A137" s="1592" t="s">
        <v>23</v>
      </c>
      <c r="B137" s="1592"/>
      <c r="C137" s="1592"/>
      <c r="D137" s="190"/>
      <c r="E137" s="190"/>
      <c r="F137" s="190"/>
      <c r="G137" s="190"/>
      <c r="H137" s="190"/>
      <c r="I137" s="190"/>
      <c r="J137" s="190"/>
      <c r="K137" s="190"/>
      <c r="L137" s="190"/>
      <c r="M137" s="190"/>
      <c r="N137" s="190"/>
    </row>
    <row r="138" spans="1:14" x14ac:dyDescent="0.25">
      <c r="A138" s="190"/>
      <c r="B138" s="190"/>
      <c r="C138" s="190"/>
      <c r="D138" s="190"/>
      <c r="E138" s="190"/>
      <c r="F138" s="190"/>
      <c r="G138" s="190"/>
      <c r="H138" s="190"/>
      <c r="I138" s="190"/>
      <c r="J138" s="190"/>
      <c r="K138" s="190"/>
      <c r="L138" s="190"/>
      <c r="M138" s="190"/>
      <c r="N138" s="190"/>
    </row>
    <row r="139" spans="1:14" x14ac:dyDescent="0.25">
      <c r="A139" s="190"/>
      <c r="B139" s="634" t="s">
        <v>1132</v>
      </c>
      <c r="C139" s="190"/>
      <c r="D139" s="190"/>
      <c r="E139" s="190"/>
      <c r="F139" s="190"/>
      <c r="G139" s="190"/>
      <c r="H139" s="190"/>
      <c r="I139" s="190"/>
      <c r="J139" s="190"/>
      <c r="K139" s="190"/>
      <c r="L139" s="190"/>
      <c r="M139" s="190"/>
      <c r="N139" s="190"/>
    </row>
    <row r="140" spans="1:14" ht="9" customHeight="1" x14ac:dyDescent="0.25">
      <c r="A140" s="190"/>
      <c r="B140" s="190"/>
      <c r="C140" s="190"/>
      <c r="D140" s="190"/>
      <c r="E140" s="190"/>
      <c r="F140" s="190"/>
      <c r="G140" s="190"/>
      <c r="H140" s="190"/>
      <c r="I140" s="190"/>
      <c r="J140" s="190"/>
      <c r="K140" s="190"/>
      <c r="L140" s="190"/>
      <c r="M140" s="190"/>
      <c r="N140" s="190"/>
    </row>
    <row r="141" spans="1:14" ht="40.5" customHeight="1" x14ac:dyDescent="0.25">
      <c r="A141" s="190"/>
      <c r="B141" s="371" t="s">
        <v>116</v>
      </c>
      <c r="C141" s="372" t="s">
        <v>115</v>
      </c>
      <c r="D141" s="390" t="s">
        <v>109</v>
      </c>
      <c r="E141" s="390" t="s">
        <v>26</v>
      </c>
      <c r="F141" s="372" t="s">
        <v>175</v>
      </c>
      <c r="G141" s="372" t="s">
        <v>174</v>
      </c>
      <c r="H141" s="190"/>
      <c r="I141" s="190"/>
      <c r="J141" s="190"/>
      <c r="K141" s="190"/>
      <c r="L141" s="190"/>
      <c r="M141" s="190"/>
      <c r="N141" s="190"/>
    </row>
    <row r="142" spans="1:14" x14ac:dyDescent="0.25">
      <c r="A142" s="190"/>
      <c r="B142" s="488"/>
      <c r="C142" s="488"/>
      <c r="D142" s="488" t="s">
        <v>124</v>
      </c>
      <c r="E142" s="485"/>
      <c r="F142" s="488" t="s">
        <v>124</v>
      </c>
      <c r="G142" s="488" t="s">
        <v>124</v>
      </c>
      <c r="H142" s="190"/>
      <c r="I142" s="190"/>
      <c r="J142" s="190"/>
      <c r="K142" s="190"/>
      <c r="L142" s="190"/>
      <c r="M142" s="190"/>
      <c r="N142" s="190"/>
    </row>
    <row r="143" spans="1:14" x14ac:dyDescent="0.25">
      <c r="A143" s="190"/>
      <c r="B143" s="483"/>
      <c r="C143" s="483"/>
      <c r="D143" s="520" t="s">
        <v>124</v>
      </c>
      <c r="E143" s="484"/>
      <c r="F143" s="520" t="s">
        <v>124</v>
      </c>
      <c r="G143" s="530" t="s">
        <v>124</v>
      </c>
      <c r="H143" s="190"/>
      <c r="I143" s="190"/>
      <c r="J143" s="190"/>
      <c r="K143" s="190"/>
      <c r="L143" s="190"/>
      <c r="M143" s="190"/>
      <c r="N143" s="190"/>
    </row>
    <row r="144" spans="1:14" x14ac:dyDescent="0.25">
      <c r="A144" s="190"/>
      <c r="B144" s="483"/>
      <c r="C144" s="483"/>
      <c r="D144" s="520" t="s">
        <v>124</v>
      </c>
      <c r="E144" s="484"/>
      <c r="F144" s="520" t="s">
        <v>124</v>
      </c>
      <c r="G144" s="530" t="s">
        <v>124</v>
      </c>
      <c r="H144" s="190"/>
      <c r="I144" s="190"/>
      <c r="J144" s="190"/>
      <c r="K144" s="190"/>
      <c r="L144" s="190"/>
      <c r="M144" s="190"/>
      <c r="N144" s="190"/>
    </row>
    <row r="145" spans="1:18" x14ac:dyDescent="0.25">
      <c r="A145" s="190"/>
      <c r="B145" s="483"/>
      <c r="C145" s="483"/>
      <c r="D145" s="520" t="s">
        <v>124</v>
      </c>
      <c r="E145" s="484"/>
      <c r="F145" s="520" t="s">
        <v>124</v>
      </c>
      <c r="G145" s="530" t="s">
        <v>124</v>
      </c>
      <c r="H145" s="190"/>
      <c r="I145" s="190"/>
      <c r="J145" s="190"/>
      <c r="K145" s="190"/>
      <c r="L145" s="190"/>
      <c r="M145" s="190"/>
      <c r="N145" s="190"/>
    </row>
    <row r="146" spans="1:18" x14ac:dyDescent="0.25">
      <c r="A146" s="190"/>
      <c r="B146" s="483"/>
      <c r="C146" s="483"/>
      <c r="D146" s="520" t="s">
        <v>124</v>
      </c>
      <c r="E146" s="484"/>
      <c r="F146" s="520" t="s">
        <v>124</v>
      </c>
      <c r="G146" s="530" t="s">
        <v>124</v>
      </c>
      <c r="H146" s="190"/>
      <c r="I146" s="190"/>
      <c r="J146" s="190"/>
      <c r="K146" s="190"/>
      <c r="L146" s="190"/>
      <c r="M146" s="190"/>
      <c r="N146" s="190"/>
    </row>
    <row r="147" spans="1:18" x14ac:dyDescent="0.25">
      <c r="A147" s="190"/>
      <c r="B147" s="483"/>
      <c r="C147" s="483"/>
      <c r="D147" s="520" t="s">
        <v>124</v>
      </c>
      <c r="E147" s="484"/>
      <c r="F147" s="520" t="s">
        <v>124</v>
      </c>
      <c r="G147" s="530" t="s">
        <v>124</v>
      </c>
      <c r="H147" s="190"/>
      <c r="I147" s="190"/>
      <c r="J147" s="190"/>
      <c r="K147" s="190"/>
      <c r="L147" s="190"/>
      <c r="M147" s="190"/>
      <c r="N147" s="190"/>
    </row>
    <row r="148" spans="1:18" x14ac:dyDescent="0.25">
      <c r="A148" s="190"/>
      <c r="B148" s="483"/>
      <c r="C148" s="483"/>
      <c r="D148" s="520" t="s">
        <v>124</v>
      </c>
      <c r="E148" s="484"/>
      <c r="F148" s="520" t="s">
        <v>124</v>
      </c>
      <c r="G148" s="530" t="s">
        <v>124</v>
      </c>
      <c r="H148" s="190"/>
      <c r="I148" s="190"/>
      <c r="J148" s="190"/>
      <c r="K148" s="190"/>
      <c r="L148" s="190"/>
      <c r="M148" s="190"/>
      <c r="N148" s="190"/>
    </row>
    <row r="149" spans="1:18" x14ac:dyDescent="0.25">
      <c r="A149" s="190"/>
      <c r="B149" s="483"/>
      <c r="C149" s="483"/>
      <c r="D149" s="520" t="s">
        <v>124</v>
      </c>
      <c r="E149" s="484"/>
      <c r="F149" s="520" t="s">
        <v>124</v>
      </c>
      <c r="G149" s="530" t="s">
        <v>124</v>
      </c>
      <c r="H149" s="190"/>
      <c r="I149" s="190"/>
      <c r="J149" s="190"/>
      <c r="K149" s="190"/>
      <c r="L149" s="190"/>
      <c r="M149" s="190"/>
      <c r="N149" s="190"/>
    </row>
    <row r="150" spans="1:18" x14ac:dyDescent="0.25">
      <c r="A150" s="190"/>
      <c r="B150" s="483"/>
      <c r="C150" s="483"/>
      <c r="D150" s="520" t="s">
        <v>124</v>
      </c>
      <c r="E150" s="484"/>
      <c r="F150" s="520" t="s">
        <v>124</v>
      </c>
      <c r="G150" s="530" t="s">
        <v>124</v>
      </c>
      <c r="H150" s="190"/>
      <c r="I150" s="190"/>
      <c r="J150" s="190"/>
      <c r="K150" s="190"/>
      <c r="L150" s="190"/>
      <c r="M150" s="190"/>
      <c r="N150" s="190"/>
    </row>
    <row r="151" spans="1:18" x14ac:dyDescent="0.25">
      <c r="A151" s="190"/>
      <c r="B151" s="483"/>
      <c r="C151" s="483"/>
      <c r="D151" s="520" t="s">
        <v>124</v>
      </c>
      <c r="E151" s="484"/>
      <c r="F151" s="520" t="s">
        <v>124</v>
      </c>
      <c r="G151" s="530" t="s">
        <v>124</v>
      </c>
      <c r="H151" s="190"/>
      <c r="I151" s="190"/>
      <c r="J151" s="190"/>
      <c r="K151" s="190"/>
      <c r="L151" s="190"/>
      <c r="M151" s="190"/>
      <c r="N151" s="190"/>
    </row>
    <row r="152" spans="1:18" ht="16.5" customHeight="1" x14ac:dyDescent="0.25">
      <c r="A152" s="190"/>
      <c r="B152" s="190"/>
      <c r="C152" s="190"/>
      <c r="D152" s="190"/>
      <c r="E152" s="190"/>
      <c r="F152" s="858" t="str">
        <f>IF(COUNTIF(F142:F151,"No")&gt;0,"No",IF(COUNTIF(F142:F151,"Yes")&gt;0,"Yes",""))</f>
        <v/>
      </c>
      <c r="G152" s="859" t="str">
        <f>IF(OR(COUNTIF(G142:G151,"no star")&gt;0,COUNTIF(G142:G151,"1 star")&gt;0),"less than 2 stars",IF(COUNTIF(G142:G151,"2 stars")&gt;0,"2 stars or more",IF(COUNTIF(G142:G151,"3 stars")&gt;0,"3 stars or more",IF(COUNTIF(G142:G151,"4 stars")&gt;0,"4 stars or more",IF(COUNTIF(G142:G151,"5 stars")&gt;0,"5 stars","")))))</f>
        <v/>
      </c>
      <c r="H152" s="190"/>
      <c r="I152" s="190"/>
      <c r="J152" s="190"/>
      <c r="K152" s="190"/>
      <c r="L152" s="190"/>
      <c r="M152" s="190"/>
      <c r="N152" s="190"/>
    </row>
    <row r="153" spans="1:18" s="38" customFormat="1" ht="15" customHeight="1" x14ac:dyDescent="0.25">
      <c r="A153" s="190"/>
      <c r="B153" s="190"/>
      <c r="C153" s="190"/>
      <c r="D153" s="190"/>
      <c r="E153" s="190"/>
      <c r="F153" s="190"/>
      <c r="G153" s="190"/>
      <c r="H153" s="190"/>
      <c r="I153" s="190"/>
      <c r="J153" s="190"/>
      <c r="K153" s="190"/>
      <c r="L153" s="190"/>
      <c r="M153" s="190"/>
      <c r="N153" s="190"/>
    </row>
    <row r="154" spans="1:18" s="38" customFormat="1" ht="18" customHeight="1" x14ac:dyDescent="0.25">
      <c r="A154" s="190"/>
      <c r="B154" s="1689" t="s">
        <v>174</v>
      </c>
      <c r="C154" s="1690"/>
      <c r="D154" s="1691"/>
      <c r="E154" s="222" t="str">
        <f>G152</f>
        <v/>
      </c>
      <c r="F154" s="190"/>
      <c r="G154" s="190"/>
      <c r="H154" s="190"/>
      <c r="I154" s="190"/>
      <c r="J154" s="190"/>
      <c r="K154" s="190"/>
      <c r="L154" s="190"/>
      <c r="M154" s="190"/>
      <c r="N154" s="190"/>
    </row>
    <row r="155" spans="1:18" s="38" customFormat="1" ht="18" customHeight="1" x14ac:dyDescent="0.25">
      <c r="A155" s="190"/>
      <c r="B155" s="1689" t="s">
        <v>728</v>
      </c>
      <c r="C155" s="1690"/>
      <c r="D155" s="1691"/>
      <c r="E155" s="222" t="str">
        <f>F152</f>
        <v/>
      </c>
      <c r="F155" s="190"/>
      <c r="G155" s="190"/>
      <c r="H155" s="190"/>
      <c r="I155" s="190"/>
      <c r="J155" s="190"/>
      <c r="K155" s="190"/>
      <c r="L155" s="190"/>
      <c r="M155" s="190"/>
      <c r="N155" s="190"/>
    </row>
    <row r="156" spans="1:18" s="38" customFormat="1" ht="17.25" customHeight="1" x14ac:dyDescent="0.25">
      <c r="A156" s="190"/>
      <c r="B156" s="190"/>
      <c r="C156" s="190"/>
      <c r="D156" s="190"/>
      <c r="E156" s="190"/>
      <c r="F156" s="190"/>
      <c r="G156" s="190"/>
      <c r="H156" s="190"/>
      <c r="I156" s="190"/>
      <c r="J156" s="190"/>
      <c r="K156" s="190"/>
      <c r="L156" s="190"/>
      <c r="M156" s="190"/>
      <c r="N156" s="190"/>
    </row>
    <row r="157" spans="1:18" s="38" customFormat="1" ht="16.5" customHeight="1" x14ac:dyDescent="0.25">
      <c r="A157" s="1592" t="s">
        <v>186</v>
      </c>
      <c r="B157" s="1592"/>
      <c r="C157" s="1592"/>
      <c r="D157" s="190"/>
      <c r="E157" s="190"/>
      <c r="F157" s="190"/>
      <c r="G157" s="190"/>
      <c r="H157" s="190"/>
      <c r="I157" s="190"/>
      <c r="J157" s="190"/>
      <c r="K157" s="190"/>
      <c r="L157" s="190"/>
      <c r="M157" s="190"/>
      <c r="N157" s="190"/>
      <c r="O157" s="224" t="s">
        <v>108</v>
      </c>
    </row>
    <row r="158" spans="1:18" s="38" customFormat="1" ht="12.75" customHeight="1" x14ac:dyDescent="0.25">
      <c r="A158" s="190"/>
      <c r="B158" s="190"/>
      <c r="C158" s="190"/>
      <c r="D158" s="190"/>
      <c r="E158" s="190"/>
      <c r="F158" s="190"/>
      <c r="G158" s="190"/>
      <c r="H158" s="190"/>
      <c r="I158" s="190"/>
      <c r="J158" s="190"/>
      <c r="K158" s="190"/>
      <c r="L158" s="190"/>
      <c r="M158" s="190"/>
      <c r="N158" s="190"/>
      <c r="O158" s="38" t="s">
        <v>124</v>
      </c>
      <c r="P158" t="s">
        <v>108</v>
      </c>
      <c r="Q158" t="s">
        <v>112</v>
      </c>
      <c r="R158" s="6" t="s">
        <v>107</v>
      </c>
    </row>
    <row r="159" spans="1:18" s="38" customFormat="1" ht="18" customHeight="1" thickBot="1" x14ac:dyDescent="0.3">
      <c r="A159" s="190"/>
      <c r="B159" s="1685" t="s">
        <v>2592</v>
      </c>
      <c r="C159" s="1686"/>
      <c r="D159" s="1686"/>
      <c r="E159" s="1686"/>
      <c r="F159" s="1686"/>
      <c r="G159" s="934" t="s">
        <v>1737</v>
      </c>
      <c r="H159" s="1589" t="s">
        <v>1738</v>
      </c>
      <c r="I159" s="1590"/>
      <c r="J159" s="190"/>
      <c r="K159" s="190"/>
      <c r="L159" s="190"/>
      <c r="M159" s="190"/>
      <c r="N159" s="190"/>
      <c r="O159" s="224" t="s">
        <v>110</v>
      </c>
      <c r="P159" t="s">
        <v>110</v>
      </c>
      <c r="Q159" t="s">
        <v>121</v>
      </c>
      <c r="R159" s="30">
        <v>2.2999999999999998</v>
      </c>
    </row>
    <row r="160" spans="1:18" s="38" customFormat="1" ht="21" customHeight="1" thickBot="1" x14ac:dyDescent="0.3">
      <c r="A160" s="190"/>
      <c r="B160" s="1576" t="s">
        <v>1111</v>
      </c>
      <c r="C160" s="1577"/>
      <c r="D160" s="1577"/>
      <c r="E160" s="1577"/>
      <c r="F160" s="1578"/>
      <c r="G160" s="471" t="s">
        <v>124</v>
      </c>
      <c r="H160" s="1587"/>
      <c r="I160" s="1588"/>
      <c r="J160" s="190"/>
      <c r="K160" s="190"/>
      <c r="L160" s="190"/>
      <c r="M160" s="190"/>
      <c r="N160" s="190"/>
      <c r="O160" s="225" t="s">
        <v>111</v>
      </c>
      <c r="P160" s="26" t="s">
        <v>111</v>
      </c>
      <c r="Q160" t="s">
        <v>508</v>
      </c>
      <c r="R160" s="30">
        <v>2.6</v>
      </c>
    </row>
    <row r="161" spans="1:22" s="38" customFormat="1" ht="21" customHeight="1" thickBot="1" x14ac:dyDescent="0.3">
      <c r="A161" s="190"/>
      <c r="B161" s="1576" t="s">
        <v>1550</v>
      </c>
      <c r="C161" s="1577"/>
      <c r="D161" s="1577"/>
      <c r="E161" s="1577"/>
      <c r="F161" s="1578"/>
      <c r="G161" s="871" t="s">
        <v>124</v>
      </c>
      <c r="H161" s="1587"/>
      <c r="I161" s="1588"/>
      <c r="J161" s="190"/>
      <c r="K161" s="190"/>
      <c r="L161" s="190"/>
      <c r="M161" s="190"/>
      <c r="N161" s="190"/>
      <c r="O161" s="225" t="s">
        <v>956</v>
      </c>
      <c r="P161" s="26"/>
      <c r="Q161" s="27" t="s">
        <v>896</v>
      </c>
      <c r="R161" s="30">
        <v>2.5</v>
      </c>
    </row>
    <row r="162" spans="1:22" s="38" customFormat="1" ht="18" customHeight="1" thickBot="1" x14ac:dyDescent="0.3">
      <c r="A162" s="190"/>
      <c r="B162" s="1199" t="s">
        <v>1108</v>
      </c>
      <c r="C162" s="190"/>
      <c r="D162" s="190"/>
      <c r="E162" s="190"/>
      <c r="F162" s="190"/>
      <c r="G162" s="190"/>
      <c r="H162" s="190"/>
      <c r="I162" s="190"/>
      <c r="J162" s="190"/>
      <c r="K162" s="190"/>
      <c r="L162" s="190"/>
      <c r="M162" s="190"/>
      <c r="N162" s="190"/>
      <c r="O162" s="225" t="s">
        <v>957</v>
      </c>
      <c r="P162" s="26"/>
      <c r="Q162" s="27" t="s">
        <v>506</v>
      </c>
      <c r="R162" s="30">
        <v>2.4</v>
      </c>
    </row>
    <row r="163" spans="1:22" s="38" customFormat="1" ht="18" customHeight="1" thickBot="1" x14ac:dyDescent="0.3">
      <c r="A163" s="190"/>
      <c r="B163" s="1685" t="s">
        <v>2593</v>
      </c>
      <c r="C163" s="1686"/>
      <c r="D163" s="1686"/>
      <c r="E163" s="1686"/>
      <c r="F163" s="1686"/>
      <c r="G163" s="934" t="s">
        <v>1737</v>
      </c>
      <c r="H163" s="1589" t="s">
        <v>1738</v>
      </c>
      <c r="I163" s="1590"/>
      <c r="J163" s="190"/>
      <c r="K163" s="190"/>
      <c r="L163" s="190"/>
      <c r="M163" s="190"/>
      <c r="N163" s="190"/>
      <c r="O163" s="225"/>
      <c r="P163" s="26"/>
      <c r="Q163" s="27"/>
      <c r="R163" s="30"/>
    </row>
    <row r="164" spans="1:22" s="38" customFormat="1" ht="27" customHeight="1" thickBot="1" x14ac:dyDescent="0.3">
      <c r="A164" s="190"/>
      <c r="B164" s="1576" t="s">
        <v>1547</v>
      </c>
      <c r="C164" s="1577"/>
      <c r="D164" s="1577"/>
      <c r="E164" s="1577"/>
      <c r="F164" s="1578"/>
      <c r="G164" s="483" t="s">
        <v>124</v>
      </c>
      <c r="H164" s="1587"/>
      <c r="I164" s="1588"/>
      <c r="J164" s="190"/>
      <c r="K164" s="190"/>
      <c r="L164" s="190"/>
      <c r="M164" s="190"/>
      <c r="N164" s="190"/>
      <c r="P164" s="26" t="s">
        <v>118</v>
      </c>
      <c r="Q164" s="27" t="s">
        <v>507</v>
      </c>
      <c r="R164" s="29">
        <v>2.93</v>
      </c>
    </row>
    <row r="165" spans="1:22" s="38" customFormat="1" ht="24" customHeight="1" thickBot="1" x14ac:dyDescent="0.3">
      <c r="A165" s="190"/>
      <c r="B165" s="1576" t="s">
        <v>1550</v>
      </c>
      <c r="C165" s="1577"/>
      <c r="D165" s="1577"/>
      <c r="E165" s="1577"/>
      <c r="F165" s="1578"/>
      <c r="G165" s="871" t="s">
        <v>124</v>
      </c>
      <c r="H165" s="1587"/>
      <c r="I165" s="1588"/>
      <c r="J165" s="190"/>
      <c r="K165" s="190"/>
      <c r="L165" s="190"/>
      <c r="M165" s="190"/>
      <c r="N165" s="190"/>
      <c r="O165" s="225"/>
      <c r="P165" s="26"/>
      <c r="Q165" s="28" t="s">
        <v>119</v>
      </c>
      <c r="R165" s="30">
        <v>3.02</v>
      </c>
    </row>
    <row r="166" spans="1:22" s="38" customFormat="1" ht="15" customHeight="1" thickBot="1" x14ac:dyDescent="0.3">
      <c r="A166" s="190"/>
      <c r="B166" s="190"/>
      <c r="C166" s="190"/>
      <c r="D166" s="190"/>
      <c r="E166" s="190"/>
      <c r="F166" s="190"/>
      <c r="G166" s="190"/>
      <c r="H166" s="190"/>
      <c r="I166" s="190"/>
      <c r="J166" s="190"/>
      <c r="K166" s="190"/>
      <c r="L166" s="190"/>
      <c r="M166" s="190"/>
      <c r="N166" s="190"/>
      <c r="O166" s="26"/>
      <c r="P166" s="26"/>
      <c r="Q166" s="28" t="s">
        <v>120</v>
      </c>
      <c r="R166" s="30">
        <v>2.84</v>
      </c>
      <c r="S166"/>
    </row>
    <row r="167" spans="1:22" ht="16.5" customHeight="1" thickBot="1" x14ac:dyDescent="0.3">
      <c r="A167" s="1592" t="s">
        <v>22</v>
      </c>
      <c r="B167" s="1592"/>
      <c r="C167" s="1592"/>
      <c r="D167" s="190"/>
      <c r="E167" s="190"/>
      <c r="F167" s="190"/>
      <c r="G167" s="190"/>
      <c r="H167" s="190"/>
      <c r="I167" s="190"/>
      <c r="J167" s="190"/>
      <c r="K167" s="190"/>
      <c r="L167" s="190"/>
      <c r="M167" s="190"/>
      <c r="N167" s="190"/>
      <c r="O167" s="26"/>
      <c r="Q167" s="28" t="s">
        <v>2463</v>
      </c>
      <c r="R167" s="30">
        <v>2.78</v>
      </c>
    </row>
    <row r="168" spans="1:22" ht="14.25" customHeight="1" thickBot="1" x14ac:dyDescent="0.3">
      <c r="A168" s="190"/>
      <c r="B168" s="190"/>
      <c r="C168" s="190"/>
      <c r="D168" s="190"/>
      <c r="E168" s="190"/>
      <c r="F168" s="190"/>
      <c r="G168" s="190"/>
      <c r="H168" s="190"/>
      <c r="I168" s="190"/>
      <c r="J168" s="190"/>
      <c r="K168" s="190"/>
      <c r="L168" s="190"/>
      <c r="M168" s="190"/>
      <c r="N168" s="190"/>
      <c r="O168" s="26"/>
      <c r="P168" s="26"/>
      <c r="Q168" s="28" t="s">
        <v>2464</v>
      </c>
      <c r="R168" s="30">
        <v>2.7</v>
      </c>
    </row>
    <row r="169" spans="1:22" ht="18" customHeight="1" thickBot="1" x14ac:dyDescent="0.3">
      <c r="A169" s="190"/>
      <c r="B169" s="171" t="s">
        <v>53</v>
      </c>
      <c r="C169" s="1328" t="str">
        <f>IF(D127="Prescriptive Path",IF(E154="3 stars or more",1,IF(E154="4 stars or more",2,IF(E154="5 stars",3,0)))+IF(E155="Yes",1,0),"")</f>
        <v/>
      </c>
      <c r="D169" s="190"/>
      <c r="E169" s="190"/>
      <c r="F169" s="190"/>
      <c r="G169" s="190"/>
      <c r="H169" s="190"/>
      <c r="I169" s="190"/>
      <c r="J169" s="190"/>
      <c r="K169" s="190"/>
      <c r="L169" s="190"/>
      <c r="M169" s="190"/>
      <c r="N169" s="190"/>
      <c r="P169" s="225" t="s">
        <v>957</v>
      </c>
      <c r="Q169" s="31" t="s">
        <v>122</v>
      </c>
      <c r="R169" s="30">
        <v>3.35</v>
      </c>
    </row>
    <row r="170" spans="1:22" ht="18" customHeight="1" thickBot="1" x14ac:dyDescent="0.3">
      <c r="A170" s="190"/>
      <c r="B170" s="171" t="s">
        <v>492</v>
      </c>
      <c r="C170" s="1328" t="str">
        <f>IF(D127="Prescriptive Path",IF(E155="Yes",IF(AND(G160="Submitted",G161="Submitted",G164="Submitted",G165="Submitted",C169&gt;0),"Yes","No"),IF(AND(G164="Submitted",G165="Submitted",C169&gt;0),"Yes","No")),"")</f>
        <v/>
      </c>
      <c r="D170" s="190"/>
      <c r="E170" s="190"/>
      <c r="F170" s="190"/>
      <c r="G170" s="190"/>
      <c r="H170" s="190"/>
      <c r="I170" s="190"/>
      <c r="J170" s="190"/>
      <c r="K170" s="190"/>
      <c r="L170" s="190"/>
      <c r="M170" s="190"/>
      <c r="N170" s="190"/>
      <c r="O170" s="26"/>
      <c r="Q170" s="33" t="s">
        <v>509</v>
      </c>
      <c r="R170" s="30">
        <v>3.37</v>
      </c>
    </row>
    <row r="171" spans="1:22" ht="21" customHeight="1" thickBot="1" x14ac:dyDescent="0.3">
      <c r="A171" s="190"/>
      <c r="B171" s="190"/>
      <c r="C171" s="190"/>
      <c r="D171" s="190"/>
      <c r="E171" s="190"/>
      <c r="F171" s="190"/>
      <c r="G171" s="190"/>
      <c r="H171" s="190"/>
      <c r="I171" s="190"/>
      <c r="J171" s="190"/>
      <c r="K171" s="190"/>
      <c r="L171" s="190"/>
      <c r="M171" s="190"/>
      <c r="N171" s="190"/>
      <c r="O171" s="26"/>
      <c r="Q171" s="28" t="s">
        <v>510</v>
      </c>
      <c r="R171" s="30">
        <v>3.32</v>
      </c>
    </row>
    <row r="172" spans="1:22" ht="18" customHeight="1" thickBot="1" x14ac:dyDescent="0.3">
      <c r="A172" s="1591" t="s">
        <v>516</v>
      </c>
      <c r="B172" s="1591"/>
      <c r="C172" s="1591"/>
      <c r="D172" s="1591"/>
      <c r="E172" s="1591"/>
      <c r="F172" s="1591"/>
      <c r="G172" s="1591"/>
      <c r="H172" s="1591"/>
      <c r="I172" s="1591"/>
      <c r="J172" s="1591"/>
      <c r="K172" s="1591"/>
      <c r="L172" s="1591"/>
      <c r="M172" s="1591"/>
      <c r="N172" s="1591"/>
      <c r="Q172" s="28" t="s">
        <v>123</v>
      </c>
      <c r="R172" s="32">
        <v>2.7</v>
      </c>
    </row>
    <row r="173" spans="1:22" x14ac:dyDescent="0.25">
      <c r="A173" s="389"/>
      <c r="B173" s="200"/>
      <c r="C173" s="200"/>
      <c r="D173" s="200"/>
      <c r="E173" s="200"/>
      <c r="F173" s="200"/>
      <c r="G173" s="200"/>
      <c r="H173" s="200"/>
      <c r="I173" s="200"/>
      <c r="J173" s="200"/>
      <c r="K173" s="200"/>
      <c r="L173" s="200"/>
      <c r="M173" s="200"/>
      <c r="N173" s="200"/>
      <c r="V173" s="4"/>
    </row>
    <row r="174" spans="1:22" ht="16.5" customHeight="1" x14ac:dyDescent="0.25">
      <c r="A174" s="1592" t="s">
        <v>245</v>
      </c>
      <c r="B174" s="1592"/>
      <c r="C174" s="1592"/>
      <c r="D174" s="200"/>
      <c r="E174" s="200"/>
      <c r="F174" s="200"/>
      <c r="G174" s="200"/>
      <c r="H174" s="200"/>
      <c r="I174" s="200"/>
      <c r="J174" s="200"/>
      <c r="K174" s="200"/>
      <c r="L174" s="200"/>
      <c r="M174" s="200"/>
      <c r="N174" s="200"/>
    </row>
    <row r="175" spans="1:22" x14ac:dyDescent="0.25">
      <c r="A175" s="200"/>
      <c r="B175" s="200"/>
      <c r="C175" s="200"/>
      <c r="D175" s="200"/>
      <c r="E175" s="200"/>
      <c r="F175" s="200"/>
      <c r="G175" s="200"/>
      <c r="H175" s="200"/>
      <c r="I175" s="200"/>
      <c r="J175" s="200"/>
      <c r="K175" s="200"/>
      <c r="L175" s="200"/>
      <c r="M175" s="200"/>
      <c r="N175" s="200"/>
    </row>
    <row r="176" spans="1:22" ht="27" customHeight="1" x14ac:dyDescent="0.25">
      <c r="A176" s="200"/>
      <c r="B176" s="1701" t="s">
        <v>2590</v>
      </c>
      <c r="C176" s="1702"/>
      <c r="D176" s="1702"/>
      <c r="E176" s="1702"/>
      <c r="F176" s="1702"/>
      <c r="G176" s="1702"/>
      <c r="H176" s="1702"/>
      <c r="I176" s="1702"/>
      <c r="J176" s="1703"/>
      <c r="K176" s="200"/>
      <c r="L176" s="200"/>
      <c r="M176" s="200"/>
      <c r="N176" s="200"/>
    </row>
    <row r="177" spans="1:14" x14ac:dyDescent="0.25">
      <c r="A177" s="200"/>
      <c r="B177" s="1338" t="s">
        <v>1108</v>
      </c>
      <c r="C177" s="628"/>
      <c r="D177" s="628"/>
      <c r="E177" s="628"/>
      <c r="F177" s="628"/>
      <c r="G177" s="628"/>
      <c r="H177" s="628"/>
      <c r="I177" s="628"/>
      <c r="J177" s="629"/>
      <c r="K177" s="200"/>
      <c r="L177" s="200"/>
      <c r="M177" s="200"/>
      <c r="N177" s="200"/>
    </row>
    <row r="178" spans="1:14" ht="27" customHeight="1" x14ac:dyDescent="0.25">
      <c r="A178" s="200"/>
      <c r="B178" s="1704" t="s">
        <v>2594</v>
      </c>
      <c r="C178" s="1705"/>
      <c r="D178" s="1705"/>
      <c r="E178" s="1705"/>
      <c r="F178" s="1705"/>
      <c r="G178" s="1705"/>
      <c r="H178" s="1705"/>
      <c r="I178" s="1705"/>
      <c r="J178" s="1706"/>
      <c r="K178" s="200"/>
      <c r="L178" s="200"/>
      <c r="M178" s="200"/>
      <c r="N178" s="200"/>
    </row>
    <row r="179" spans="1:14" x14ac:dyDescent="0.25">
      <c r="A179" s="200"/>
      <c r="B179" s="200"/>
      <c r="C179" s="200"/>
      <c r="D179" s="200"/>
      <c r="E179" s="200"/>
      <c r="F179" s="200"/>
      <c r="G179" s="200"/>
      <c r="H179" s="200"/>
      <c r="I179" s="200"/>
      <c r="J179" s="200"/>
      <c r="K179" s="200"/>
      <c r="L179" s="200"/>
      <c r="M179" s="200"/>
      <c r="N179" s="200"/>
    </row>
    <row r="180" spans="1:14" x14ac:dyDescent="0.25">
      <c r="A180" s="200"/>
      <c r="B180" s="1747" t="s">
        <v>1514</v>
      </c>
      <c r="C180" s="1747"/>
      <c r="D180" s="1747"/>
      <c r="E180" s="1747"/>
      <c r="F180" s="1747"/>
      <c r="G180" s="200"/>
      <c r="H180" s="200"/>
      <c r="I180" s="200"/>
      <c r="J180" s="200"/>
      <c r="K180" s="200"/>
      <c r="L180" s="200"/>
      <c r="M180" s="200"/>
      <c r="N180" s="200"/>
    </row>
    <row r="181" spans="1:14" x14ac:dyDescent="0.25">
      <c r="A181" s="200"/>
      <c r="B181" s="200"/>
      <c r="C181" s="200"/>
      <c r="D181" s="200"/>
      <c r="E181" s="200"/>
      <c r="F181" s="200"/>
      <c r="G181" s="200"/>
      <c r="H181" s="200"/>
      <c r="I181" s="200"/>
      <c r="J181" s="200"/>
      <c r="K181" s="200"/>
      <c r="L181" s="200"/>
      <c r="M181" s="200"/>
      <c r="N181" s="200"/>
    </row>
    <row r="182" spans="1:14" x14ac:dyDescent="0.25">
      <c r="A182" s="200"/>
      <c r="B182" s="200"/>
      <c r="C182" s="200"/>
      <c r="D182" s="200"/>
      <c r="E182" s="200"/>
      <c r="F182" s="200"/>
      <c r="G182" s="200"/>
      <c r="H182" s="200"/>
      <c r="I182" s="200"/>
      <c r="J182" s="200"/>
      <c r="K182" s="200"/>
      <c r="L182" s="200"/>
      <c r="M182" s="200"/>
      <c r="N182" s="200"/>
    </row>
    <row r="183" spans="1:14" ht="25.5" customHeight="1" x14ac:dyDescent="0.25">
      <c r="A183" s="200"/>
      <c r="B183" s="200"/>
      <c r="C183" s="200"/>
      <c r="D183" s="200"/>
      <c r="E183" s="200"/>
      <c r="F183" s="200"/>
      <c r="G183" s="200"/>
      <c r="H183" s="200"/>
      <c r="I183" s="200"/>
      <c r="J183" s="200"/>
      <c r="K183" s="200"/>
      <c r="L183" s="200"/>
      <c r="M183" s="200"/>
      <c r="N183" s="200"/>
    </row>
    <row r="184" spans="1:14" x14ac:dyDescent="0.25">
      <c r="A184" s="200"/>
      <c r="B184" s="200"/>
      <c r="C184" s="200"/>
      <c r="D184" s="200"/>
      <c r="E184" s="200"/>
      <c r="F184" s="200"/>
      <c r="G184" s="200"/>
      <c r="H184" s="200"/>
      <c r="I184" s="200"/>
      <c r="J184" s="200"/>
      <c r="K184" s="200"/>
      <c r="L184" s="200"/>
      <c r="M184" s="200"/>
      <c r="N184" s="200"/>
    </row>
    <row r="185" spans="1:14" ht="15" customHeight="1" x14ac:dyDescent="0.25">
      <c r="A185" s="200"/>
      <c r="B185" s="200"/>
      <c r="C185" s="200"/>
      <c r="D185" s="200"/>
      <c r="E185" s="200"/>
      <c r="F185" s="200"/>
      <c r="G185" s="200"/>
      <c r="H185" s="200"/>
      <c r="I185" s="200"/>
      <c r="J185" s="200"/>
      <c r="K185" s="200"/>
      <c r="L185" s="200"/>
      <c r="M185" s="200"/>
      <c r="N185" s="200"/>
    </row>
    <row r="186" spans="1:14" ht="15" customHeight="1" x14ac:dyDescent="0.25">
      <c r="A186" s="200"/>
      <c r="B186" s="200"/>
      <c r="C186" s="200"/>
      <c r="D186" s="200"/>
      <c r="E186" s="200"/>
      <c r="F186" s="200"/>
      <c r="G186" s="200"/>
      <c r="H186" s="200"/>
      <c r="I186" s="200"/>
      <c r="J186" s="200"/>
      <c r="K186" s="200"/>
      <c r="L186" s="200"/>
      <c r="M186" s="200"/>
      <c r="N186" s="200"/>
    </row>
    <row r="187" spans="1:14" ht="15" customHeight="1" x14ac:dyDescent="0.25">
      <c r="A187" s="200"/>
      <c r="B187" s="200"/>
      <c r="C187" s="200"/>
      <c r="D187" s="200"/>
      <c r="E187" s="200"/>
      <c r="F187" s="200"/>
      <c r="G187" s="200"/>
      <c r="H187" s="200"/>
      <c r="I187" s="200"/>
      <c r="J187" s="200"/>
      <c r="K187" s="200"/>
      <c r="L187" s="200"/>
      <c r="M187" s="200"/>
      <c r="N187" s="200"/>
    </row>
    <row r="188" spans="1:14" x14ac:dyDescent="0.25">
      <c r="A188" s="200"/>
      <c r="B188" s="200"/>
      <c r="C188" s="200"/>
      <c r="D188" s="200"/>
      <c r="E188" s="200"/>
      <c r="F188" s="200"/>
      <c r="G188" s="200"/>
      <c r="H188" s="200"/>
      <c r="I188" s="200"/>
      <c r="J188" s="200"/>
      <c r="K188" s="200"/>
      <c r="L188" s="200"/>
      <c r="M188" s="200"/>
      <c r="N188" s="200"/>
    </row>
    <row r="189" spans="1:14" ht="15" customHeight="1" x14ac:dyDescent="0.25">
      <c r="A189" s="200"/>
      <c r="B189" s="200"/>
      <c r="C189" s="200"/>
      <c r="D189" s="200"/>
      <c r="E189" s="200"/>
      <c r="F189" s="200"/>
      <c r="G189" s="200"/>
      <c r="H189" s="200"/>
      <c r="I189" s="200"/>
      <c r="J189" s="200"/>
      <c r="K189" s="200"/>
      <c r="L189" s="200"/>
      <c r="M189" s="200"/>
      <c r="N189" s="200"/>
    </row>
    <row r="190" spans="1:14" ht="15" customHeight="1" x14ac:dyDescent="0.25">
      <c r="A190" s="200"/>
      <c r="B190" s="200"/>
      <c r="C190" s="200"/>
      <c r="D190" s="200"/>
      <c r="E190" s="200"/>
      <c r="F190" s="200"/>
      <c r="G190" s="200"/>
      <c r="H190" s="200"/>
      <c r="I190" s="200"/>
      <c r="J190" s="200"/>
      <c r="K190" s="200"/>
      <c r="L190" s="200"/>
      <c r="M190" s="200"/>
      <c r="N190" s="200"/>
    </row>
    <row r="191" spans="1:14" ht="15" customHeight="1" x14ac:dyDescent="0.25">
      <c r="A191" s="200"/>
      <c r="B191" s="200"/>
      <c r="C191" s="200"/>
      <c r="D191" s="200"/>
      <c r="E191" s="200"/>
      <c r="F191" s="200"/>
      <c r="G191" s="200"/>
      <c r="H191" s="200"/>
      <c r="I191" s="200"/>
      <c r="J191" s="200"/>
      <c r="K191" s="200"/>
      <c r="L191" s="200"/>
      <c r="M191" s="200"/>
      <c r="N191" s="200"/>
    </row>
    <row r="192" spans="1:14" x14ac:dyDescent="0.25">
      <c r="A192" s="200"/>
      <c r="B192" s="200"/>
      <c r="C192" s="200"/>
      <c r="D192" s="200"/>
      <c r="E192" s="200"/>
      <c r="F192" s="200"/>
      <c r="G192" s="200"/>
      <c r="H192" s="200"/>
      <c r="I192" s="200"/>
      <c r="J192" s="200"/>
      <c r="K192" s="200"/>
      <c r="L192" s="200"/>
      <c r="M192" s="200"/>
      <c r="N192" s="200"/>
    </row>
    <row r="193" spans="1:22" ht="25.5" customHeight="1" x14ac:dyDescent="0.25">
      <c r="A193" s="200"/>
      <c r="B193" s="200"/>
      <c r="C193" s="200"/>
      <c r="D193" s="200"/>
      <c r="E193" s="200"/>
      <c r="F193" s="200"/>
      <c r="G193" s="200"/>
      <c r="H193" s="200"/>
      <c r="I193" s="200"/>
      <c r="J193" s="200"/>
      <c r="K193" s="200"/>
      <c r="L193" s="200"/>
      <c r="M193" s="200"/>
      <c r="N193" s="200"/>
    </row>
    <row r="194" spans="1:22" ht="25.5" customHeight="1" x14ac:dyDescent="0.25">
      <c r="A194" s="200"/>
      <c r="B194" s="200"/>
      <c r="C194" s="200"/>
      <c r="D194" s="200"/>
      <c r="E194" s="200"/>
      <c r="F194" s="200"/>
      <c r="G194" s="200"/>
      <c r="H194" s="200"/>
      <c r="I194" s="200"/>
      <c r="J194" s="200"/>
      <c r="K194" s="200"/>
      <c r="L194" s="200"/>
      <c r="M194" s="200"/>
      <c r="N194" s="200"/>
    </row>
    <row r="195" spans="1:22" ht="15" customHeight="1" x14ac:dyDescent="0.25">
      <c r="A195" s="200"/>
      <c r="B195" s="200"/>
      <c r="C195" s="200"/>
      <c r="D195" s="200"/>
      <c r="E195" s="200"/>
      <c r="F195" s="200"/>
      <c r="G195" s="200"/>
      <c r="H195" s="200"/>
      <c r="I195" s="200"/>
      <c r="J195" s="200"/>
      <c r="K195" s="200"/>
      <c r="L195" s="200"/>
      <c r="M195" s="200"/>
      <c r="N195" s="200"/>
    </row>
    <row r="196" spans="1:22" x14ac:dyDescent="0.25">
      <c r="A196" s="200"/>
      <c r="B196" s="200"/>
      <c r="C196" s="200"/>
      <c r="D196" s="200"/>
      <c r="E196" s="200"/>
      <c r="F196" s="200"/>
      <c r="G196" s="200"/>
      <c r="H196" s="200"/>
      <c r="I196" s="200"/>
      <c r="J196" s="200"/>
      <c r="K196" s="200"/>
      <c r="L196" s="200"/>
      <c r="M196" s="200"/>
      <c r="N196" s="200"/>
    </row>
    <row r="197" spans="1:22" x14ac:dyDescent="0.25">
      <c r="A197" s="200"/>
      <c r="B197" s="200"/>
      <c r="C197" s="200"/>
      <c r="D197" s="200"/>
      <c r="E197" s="200"/>
      <c r="F197" s="200"/>
      <c r="G197" s="200"/>
      <c r="H197" s="200"/>
      <c r="I197" s="200"/>
      <c r="J197" s="200"/>
      <c r="K197" s="200"/>
      <c r="L197" s="200"/>
      <c r="M197" s="200"/>
      <c r="N197" s="200"/>
    </row>
    <row r="198" spans="1:22" x14ac:dyDescent="0.25">
      <c r="A198" s="200"/>
      <c r="B198" s="200"/>
      <c r="C198" s="200"/>
      <c r="D198" s="200"/>
      <c r="E198" s="200"/>
      <c r="F198" s="200"/>
      <c r="G198" s="200"/>
      <c r="H198" s="200"/>
      <c r="I198" s="200"/>
      <c r="J198" s="200"/>
      <c r="K198" s="200"/>
      <c r="L198" s="200"/>
      <c r="M198" s="200"/>
      <c r="N198" s="200"/>
    </row>
    <row r="199" spans="1:22" ht="16.5" customHeight="1" x14ac:dyDescent="0.25">
      <c r="A199" s="1592" t="s">
        <v>23</v>
      </c>
      <c r="B199" s="1592"/>
      <c r="C199" s="1592"/>
      <c r="D199" s="200"/>
      <c r="E199" s="200"/>
      <c r="F199" s="200"/>
      <c r="G199" s="200"/>
      <c r="H199" s="200"/>
      <c r="I199" s="200"/>
      <c r="J199" s="200"/>
      <c r="K199" s="200"/>
      <c r="L199" s="200"/>
      <c r="M199" s="200"/>
      <c r="N199" s="200"/>
    </row>
    <row r="200" spans="1:22" x14ac:dyDescent="0.25">
      <c r="A200" s="200"/>
      <c r="B200" s="200"/>
      <c r="C200" s="200"/>
      <c r="D200" s="200"/>
      <c r="E200" s="200"/>
      <c r="F200" s="200"/>
      <c r="G200" s="200"/>
      <c r="H200" s="200"/>
      <c r="I200" s="200"/>
      <c r="J200" s="200"/>
      <c r="K200" s="200"/>
      <c r="L200" s="200"/>
      <c r="M200" s="200"/>
      <c r="N200" s="200"/>
      <c r="V200" s="4"/>
    </row>
    <row r="201" spans="1:22" x14ac:dyDescent="0.25">
      <c r="A201" s="200"/>
      <c r="B201" s="633" t="s">
        <v>1132</v>
      </c>
      <c r="C201" s="200"/>
      <c r="D201" s="200"/>
      <c r="E201" s="200"/>
      <c r="F201" s="200"/>
      <c r="G201" s="200"/>
      <c r="H201" s="200"/>
      <c r="I201" s="200"/>
      <c r="J201" s="200"/>
      <c r="K201" s="200"/>
      <c r="L201" s="200"/>
      <c r="M201" s="200"/>
      <c r="N201" s="200"/>
      <c r="V201" s="4"/>
    </row>
    <row r="202" spans="1:22" ht="9" customHeight="1" x14ac:dyDescent="0.25">
      <c r="A202" s="200"/>
      <c r="B202" s="191"/>
      <c r="C202" s="200"/>
      <c r="D202" s="200"/>
      <c r="E202" s="200"/>
      <c r="F202" s="200"/>
      <c r="G202" s="200"/>
      <c r="H202" s="200"/>
      <c r="I202" s="200"/>
      <c r="J202" s="200"/>
      <c r="K202" s="200"/>
      <c r="L202" s="200"/>
      <c r="M202" s="200"/>
      <c r="N202" s="200"/>
      <c r="V202" s="4"/>
    </row>
    <row r="203" spans="1:22" ht="28.5" customHeight="1" x14ac:dyDescent="0.25">
      <c r="A203" s="200"/>
      <c r="B203" s="371" t="s">
        <v>116</v>
      </c>
      <c r="C203" s="372" t="s">
        <v>115</v>
      </c>
      <c r="D203" s="390" t="s">
        <v>109</v>
      </c>
      <c r="E203" s="390" t="s">
        <v>26</v>
      </c>
      <c r="F203" s="372" t="s">
        <v>175</v>
      </c>
      <c r="G203" s="372" t="s">
        <v>117</v>
      </c>
      <c r="H203" s="372" t="s">
        <v>511</v>
      </c>
      <c r="I203" s="390" t="s">
        <v>176</v>
      </c>
      <c r="J203" s="372" t="s">
        <v>107</v>
      </c>
      <c r="K203" s="200"/>
      <c r="L203" s="200"/>
      <c r="M203" s="200"/>
      <c r="N203" s="200"/>
      <c r="R203" t="s">
        <v>112</v>
      </c>
      <c r="S203" s="6" t="s">
        <v>107</v>
      </c>
    </row>
    <row r="204" spans="1:22" ht="21" customHeight="1" x14ac:dyDescent="0.25">
      <c r="A204" s="200"/>
      <c r="B204" s="488"/>
      <c r="C204" s="488"/>
      <c r="D204" s="520" t="s">
        <v>124</v>
      </c>
      <c r="E204" s="485"/>
      <c r="F204" s="520" t="s">
        <v>124</v>
      </c>
      <c r="G204" s="488"/>
      <c r="H204" s="488"/>
      <c r="I204" s="494" t="str">
        <f>IF(K204&lt;&gt;"","",IFERROR(IF(AND(B204&lt;&gt;"",G204&lt;&gt;"",H204&lt;&gt;""),H204/G204,""),""))</f>
        <v/>
      </c>
      <c r="J204" s="495" t="str">
        <f t="shared" ref="J204:J213" si="4">S204</f>
        <v/>
      </c>
      <c r="K204" s="1687" t="str">
        <f t="shared" ref="K204:K213" si="5">IF(R204="N/A",IF(D204="split air-conditioner","","Unit type shouldn't be split air-conditioner"),"")</f>
        <v/>
      </c>
      <c r="L204" s="1688"/>
      <c r="M204" s="1688"/>
      <c r="N204" s="1688"/>
      <c r="R204" t="str">
        <f t="shared" ref="R204:R213" si="6">IF(D204="Select","",IF(D204=$P$159,$Q$159,IF(D204=$P$160,IF(H204&lt;4.5,$Q$160,IF(H204&lt;7,$Q$161,IF(H204&lt;14,$Q$162,"N/A"))),IF(D204=$P$164,IF(H204&lt;14,"N/A",IF(H204&lt;19,$Q$164,IF(H204&lt;40,$Q$165,IF(H204&lt;70,$Q$166,IF(H204&lt;117,Q167,$Q$168))))),IF(D204=$P$169,IF(H204&lt;19,$Q$169,IF(H204&lt;40,$Q$170,IF(H204&lt;70,$Q$171,$Q$172))))))))</f>
        <v/>
      </c>
      <c r="S204" t="str">
        <f t="shared" ref="S204:S214" si="7">IFERROR(VLOOKUP(R204,$Q$158:$R$172,2,FALSE),"")</f>
        <v/>
      </c>
    </row>
    <row r="205" spans="1:22" ht="21" customHeight="1" x14ac:dyDescent="0.25">
      <c r="A205" s="200"/>
      <c r="B205" s="483"/>
      <c r="C205" s="483"/>
      <c r="D205" s="520" t="s">
        <v>124</v>
      </c>
      <c r="E205" s="484"/>
      <c r="F205" s="520" t="s">
        <v>124</v>
      </c>
      <c r="G205" s="483"/>
      <c r="H205" s="483"/>
      <c r="I205" s="494" t="str">
        <f t="shared" ref="I205:I213" si="8">IF(M205&lt;&gt;"","",IFERROR(IF(AND(B205&lt;&gt;"",G205&lt;&gt;"",H205&lt;&gt;""),H205/G205,""),""))</f>
        <v/>
      </c>
      <c r="J205" s="494" t="str">
        <f t="shared" si="4"/>
        <v/>
      </c>
      <c r="K205" s="1687" t="str">
        <f t="shared" si="5"/>
        <v/>
      </c>
      <c r="L205" s="1688"/>
      <c r="M205" s="1688"/>
      <c r="N205" s="1688"/>
      <c r="R205" t="str">
        <f t="shared" si="6"/>
        <v/>
      </c>
      <c r="S205" t="str">
        <f t="shared" si="7"/>
        <v/>
      </c>
    </row>
    <row r="206" spans="1:22" ht="21" customHeight="1" x14ac:dyDescent="0.25">
      <c r="A206" s="200"/>
      <c r="B206" s="483"/>
      <c r="C206" s="483"/>
      <c r="D206" s="520" t="s">
        <v>124</v>
      </c>
      <c r="E206" s="484"/>
      <c r="F206" s="520" t="s">
        <v>124</v>
      </c>
      <c r="G206" s="483"/>
      <c r="H206" s="483"/>
      <c r="I206" s="494" t="str">
        <f t="shared" si="8"/>
        <v/>
      </c>
      <c r="J206" s="494" t="str">
        <f t="shared" si="4"/>
        <v/>
      </c>
      <c r="K206" s="1687" t="str">
        <f t="shared" si="5"/>
        <v/>
      </c>
      <c r="L206" s="1688"/>
      <c r="M206" s="1688"/>
      <c r="N206" s="1688"/>
      <c r="R206" t="str">
        <f t="shared" si="6"/>
        <v/>
      </c>
      <c r="S206" t="str">
        <f t="shared" si="7"/>
        <v/>
      </c>
    </row>
    <row r="207" spans="1:22" ht="21" customHeight="1" x14ac:dyDescent="0.25">
      <c r="A207" s="200"/>
      <c r="B207" s="483"/>
      <c r="C207" s="483"/>
      <c r="D207" s="488" t="s">
        <v>124</v>
      </c>
      <c r="E207" s="484"/>
      <c r="F207" s="520" t="s">
        <v>124</v>
      </c>
      <c r="G207" s="483"/>
      <c r="H207" s="483"/>
      <c r="I207" s="494" t="str">
        <f t="shared" si="8"/>
        <v/>
      </c>
      <c r="J207" s="494" t="str">
        <f t="shared" si="4"/>
        <v/>
      </c>
      <c r="K207" s="1687" t="str">
        <f t="shared" si="5"/>
        <v/>
      </c>
      <c r="L207" s="1688"/>
      <c r="M207" s="1688"/>
      <c r="N207" s="1688"/>
      <c r="R207" t="str">
        <f t="shared" si="6"/>
        <v/>
      </c>
      <c r="S207" t="str">
        <f t="shared" si="7"/>
        <v/>
      </c>
    </row>
    <row r="208" spans="1:22" ht="21" customHeight="1" x14ac:dyDescent="0.25">
      <c r="A208" s="200"/>
      <c r="B208" s="483"/>
      <c r="C208" s="483"/>
      <c r="D208" s="488" t="s">
        <v>124</v>
      </c>
      <c r="E208" s="484"/>
      <c r="F208" s="520" t="s">
        <v>124</v>
      </c>
      <c r="G208" s="483"/>
      <c r="H208" s="483"/>
      <c r="I208" s="494" t="str">
        <f t="shared" si="8"/>
        <v/>
      </c>
      <c r="J208" s="494" t="str">
        <f t="shared" si="4"/>
        <v/>
      </c>
      <c r="K208" s="1687" t="str">
        <f t="shared" si="5"/>
        <v/>
      </c>
      <c r="L208" s="1688"/>
      <c r="M208" s="1688"/>
      <c r="N208" s="1688"/>
      <c r="R208" t="str">
        <f t="shared" si="6"/>
        <v/>
      </c>
      <c r="S208" t="str">
        <f t="shared" si="7"/>
        <v/>
      </c>
    </row>
    <row r="209" spans="1:22" ht="21" customHeight="1" x14ac:dyDescent="0.25">
      <c r="A209" s="200"/>
      <c r="B209" s="483"/>
      <c r="C209" s="483"/>
      <c r="D209" s="488" t="s">
        <v>124</v>
      </c>
      <c r="E209" s="484"/>
      <c r="F209" s="520" t="s">
        <v>124</v>
      </c>
      <c r="G209" s="483"/>
      <c r="H209" s="483"/>
      <c r="I209" s="494" t="str">
        <f t="shared" si="8"/>
        <v/>
      </c>
      <c r="J209" s="494" t="str">
        <f t="shared" si="4"/>
        <v/>
      </c>
      <c r="K209" s="1687" t="str">
        <f t="shared" si="5"/>
        <v/>
      </c>
      <c r="L209" s="1688"/>
      <c r="M209" s="1688"/>
      <c r="N209" s="1688"/>
      <c r="R209" t="str">
        <f t="shared" si="6"/>
        <v/>
      </c>
      <c r="S209" t="str">
        <f t="shared" si="7"/>
        <v/>
      </c>
    </row>
    <row r="210" spans="1:22" ht="21" customHeight="1" x14ac:dyDescent="0.25">
      <c r="A210" s="200"/>
      <c r="B210" s="483"/>
      <c r="C210" s="483"/>
      <c r="D210" s="488" t="s">
        <v>124</v>
      </c>
      <c r="E210" s="484"/>
      <c r="F210" s="520" t="s">
        <v>124</v>
      </c>
      <c r="G210" s="483"/>
      <c r="H210" s="483"/>
      <c r="I210" s="494" t="str">
        <f t="shared" si="8"/>
        <v/>
      </c>
      <c r="J210" s="494" t="str">
        <f t="shared" si="4"/>
        <v/>
      </c>
      <c r="K210" s="1687" t="str">
        <f t="shared" si="5"/>
        <v/>
      </c>
      <c r="L210" s="1688"/>
      <c r="M210" s="1688"/>
      <c r="N210" s="1688"/>
      <c r="R210" t="str">
        <f t="shared" si="6"/>
        <v/>
      </c>
      <c r="S210" t="str">
        <f t="shared" si="7"/>
        <v/>
      </c>
    </row>
    <row r="211" spans="1:22" ht="21" customHeight="1" x14ac:dyDescent="0.25">
      <c r="A211" s="200"/>
      <c r="B211" s="483"/>
      <c r="C211" s="483"/>
      <c r="D211" s="488" t="s">
        <v>124</v>
      </c>
      <c r="E211" s="484"/>
      <c r="F211" s="520" t="s">
        <v>124</v>
      </c>
      <c r="G211" s="483"/>
      <c r="H211" s="483"/>
      <c r="I211" s="494" t="str">
        <f t="shared" si="8"/>
        <v/>
      </c>
      <c r="J211" s="494" t="str">
        <f t="shared" si="4"/>
        <v/>
      </c>
      <c r="K211" s="1687" t="str">
        <f t="shared" si="5"/>
        <v/>
      </c>
      <c r="L211" s="1688"/>
      <c r="M211" s="1688"/>
      <c r="N211" s="1688"/>
      <c r="R211" t="str">
        <f t="shared" si="6"/>
        <v/>
      </c>
      <c r="S211" t="str">
        <f t="shared" si="7"/>
        <v/>
      </c>
    </row>
    <row r="212" spans="1:22" ht="21" customHeight="1" x14ac:dyDescent="0.25">
      <c r="A212" s="200"/>
      <c r="B212" s="483"/>
      <c r="C212" s="483"/>
      <c r="D212" s="488" t="s">
        <v>124</v>
      </c>
      <c r="E212" s="484"/>
      <c r="F212" s="520" t="s">
        <v>124</v>
      </c>
      <c r="G212" s="483"/>
      <c r="H212" s="483"/>
      <c r="I212" s="494" t="str">
        <f t="shared" si="8"/>
        <v/>
      </c>
      <c r="J212" s="494" t="str">
        <f t="shared" si="4"/>
        <v/>
      </c>
      <c r="K212" s="1687" t="str">
        <f t="shared" si="5"/>
        <v/>
      </c>
      <c r="L212" s="1688"/>
      <c r="M212" s="1688"/>
      <c r="N212" s="1688"/>
      <c r="R212" t="str">
        <f t="shared" si="6"/>
        <v/>
      </c>
      <c r="S212" t="str">
        <f t="shared" si="7"/>
        <v/>
      </c>
    </row>
    <row r="213" spans="1:22" ht="21" customHeight="1" x14ac:dyDescent="0.25">
      <c r="A213" s="200"/>
      <c r="B213" s="483"/>
      <c r="C213" s="483"/>
      <c r="D213" s="488" t="s">
        <v>124</v>
      </c>
      <c r="E213" s="484"/>
      <c r="F213" s="520" t="s">
        <v>124</v>
      </c>
      <c r="G213" s="483"/>
      <c r="H213" s="483"/>
      <c r="I213" s="494" t="str">
        <f t="shared" si="8"/>
        <v/>
      </c>
      <c r="J213" s="494" t="str">
        <f t="shared" si="4"/>
        <v/>
      </c>
      <c r="K213" s="1687" t="str">
        <f t="shared" si="5"/>
        <v/>
      </c>
      <c r="L213" s="1688"/>
      <c r="M213" s="1688"/>
      <c r="N213" s="1688"/>
      <c r="R213" t="str">
        <f t="shared" si="6"/>
        <v/>
      </c>
      <c r="S213" t="str">
        <f t="shared" si="7"/>
        <v/>
      </c>
    </row>
    <row r="214" spans="1:22" x14ac:dyDescent="0.25">
      <c r="A214" s="200"/>
      <c r="B214" s="200"/>
      <c r="C214" s="200"/>
      <c r="D214" s="200"/>
      <c r="E214" s="200"/>
      <c r="F214" s="187" t="str">
        <f>IF(COUNTIF(F204:F213,"No")&gt;0,"No",IF(COUNTIF(F204:F213,"Yes")&gt;0,"Yes",""))</f>
        <v/>
      </c>
      <c r="G214" s="200"/>
      <c r="H214" s="220" t="s">
        <v>500</v>
      </c>
      <c r="I214" s="496" t="str">
        <f>IFERROR(SUMPRODUCT(E204:E213,H204:H213)/SUMPRODUCT(E204:E213,G204:G213),"")</f>
        <v/>
      </c>
      <c r="J214" s="496" t="str">
        <f>IFERROR(SUMPRODUCT(E204:E213,H204:H213,J204:J213)/SUMPRODUCT(E204:E213,H204:H213),"")</f>
        <v/>
      </c>
      <c r="K214" s="200"/>
      <c r="L214" s="200"/>
      <c r="M214" s="200"/>
      <c r="N214" s="200"/>
      <c r="P214" s="38"/>
      <c r="S214" t="str">
        <f t="shared" si="7"/>
        <v/>
      </c>
    </row>
    <row r="215" spans="1:22" x14ac:dyDescent="0.25">
      <c r="A215" s="200"/>
      <c r="B215" s="200"/>
      <c r="C215" s="200"/>
      <c r="D215" s="200"/>
      <c r="E215" s="200"/>
      <c r="F215" s="200"/>
      <c r="G215" s="200"/>
      <c r="H215" s="200"/>
      <c r="I215" s="200"/>
      <c r="J215" s="200"/>
      <c r="K215" s="200"/>
      <c r="L215" s="200"/>
      <c r="M215" s="200"/>
      <c r="N215" s="200"/>
      <c r="P215" s="38"/>
      <c r="Q215" s="38"/>
    </row>
    <row r="216" spans="1:22" ht="18" customHeight="1" x14ac:dyDescent="0.25">
      <c r="A216" s="200"/>
      <c r="B216" s="1689" t="s">
        <v>34</v>
      </c>
      <c r="C216" s="1690"/>
      <c r="D216" s="1691"/>
      <c r="E216" s="222" t="str">
        <f>IFERROR(I214/J214-1,"")</f>
        <v/>
      </c>
      <c r="F216" s="200"/>
      <c r="G216" s="200"/>
      <c r="H216" s="200"/>
      <c r="I216" s="200"/>
      <c r="J216" s="200"/>
      <c r="K216" s="200"/>
      <c r="L216" s="200"/>
      <c r="M216" s="200"/>
      <c r="N216" s="200"/>
      <c r="O216" s="38"/>
      <c r="P216" s="38"/>
      <c r="Q216" s="38"/>
    </row>
    <row r="217" spans="1:22" ht="18" customHeight="1" x14ac:dyDescent="0.25">
      <c r="A217" s="200"/>
      <c r="B217" s="1689" t="s">
        <v>728</v>
      </c>
      <c r="C217" s="1690"/>
      <c r="D217" s="1691"/>
      <c r="E217" s="222" t="str">
        <f>F214</f>
        <v/>
      </c>
      <c r="F217" s="200"/>
      <c r="G217" s="200"/>
      <c r="H217" s="200"/>
      <c r="I217" s="200"/>
      <c r="J217" s="200"/>
      <c r="K217" s="200"/>
      <c r="L217" s="200"/>
      <c r="M217" s="200"/>
      <c r="N217" s="200"/>
      <c r="O217" s="38"/>
      <c r="P217" s="38"/>
      <c r="Q217" s="38"/>
      <c r="R217" s="38"/>
      <c r="S217" s="38"/>
    </row>
    <row r="218" spans="1:22" ht="16.5" customHeight="1" x14ac:dyDescent="0.25">
      <c r="A218" s="200"/>
      <c r="B218" s="200"/>
      <c r="C218" s="200"/>
      <c r="D218" s="200"/>
      <c r="E218" s="200"/>
      <c r="F218" s="200"/>
      <c r="G218" s="200"/>
      <c r="H218" s="200"/>
      <c r="I218" s="200"/>
      <c r="J218" s="200"/>
      <c r="K218" s="200"/>
      <c r="L218" s="200"/>
      <c r="M218" s="200"/>
      <c r="N218" s="200"/>
      <c r="O218" s="38"/>
      <c r="P218" s="38"/>
      <c r="Q218" s="38"/>
      <c r="R218" s="38"/>
      <c r="S218" s="38"/>
    </row>
    <row r="219" spans="1:22" s="38" customFormat="1" ht="16.5" customHeight="1" x14ac:dyDescent="0.25">
      <c r="A219" s="1592" t="s">
        <v>186</v>
      </c>
      <c r="B219" s="1592"/>
      <c r="C219" s="1592"/>
      <c r="D219" s="200"/>
      <c r="E219" s="200"/>
      <c r="F219" s="200"/>
      <c r="G219" s="200"/>
      <c r="H219" s="200"/>
      <c r="I219" s="200"/>
      <c r="J219" s="200"/>
      <c r="K219" s="200"/>
      <c r="L219" s="200"/>
      <c r="M219" s="200"/>
      <c r="N219" s="200"/>
      <c r="T219"/>
      <c r="U219"/>
      <c r="V219"/>
    </row>
    <row r="220" spans="1:22" s="38" customFormat="1" x14ac:dyDescent="0.25">
      <c r="A220" s="200"/>
      <c r="B220" s="200"/>
      <c r="C220" s="200"/>
      <c r="D220" s="200"/>
      <c r="E220" s="200"/>
      <c r="F220" s="200"/>
      <c r="G220" s="200"/>
      <c r="H220" s="200"/>
      <c r="I220" s="200"/>
      <c r="J220" s="200"/>
      <c r="K220" s="200"/>
      <c r="L220" s="200"/>
      <c r="M220" s="200"/>
      <c r="N220" s="200"/>
    </row>
    <row r="221" spans="1:22" s="38" customFormat="1" ht="18" customHeight="1" x14ac:dyDescent="0.25">
      <c r="A221" s="200"/>
      <c r="B221" s="1685" t="s">
        <v>2595</v>
      </c>
      <c r="C221" s="1686"/>
      <c r="D221" s="1686"/>
      <c r="E221" s="1686"/>
      <c r="F221" s="1686"/>
      <c r="G221" s="934" t="s">
        <v>1737</v>
      </c>
      <c r="H221" s="1589" t="s">
        <v>1738</v>
      </c>
      <c r="I221" s="1590"/>
      <c r="J221" s="200"/>
      <c r="K221" s="200"/>
      <c r="L221" s="200"/>
      <c r="M221" s="200"/>
      <c r="N221" s="200"/>
    </row>
    <row r="222" spans="1:22" s="38" customFormat="1" ht="27" customHeight="1" x14ac:dyDescent="0.25">
      <c r="A222" s="200"/>
      <c r="B222" s="1692" t="s">
        <v>1111</v>
      </c>
      <c r="C222" s="1693"/>
      <c r="D222" s="1693"/>
      <c r="E222" s="1693"/>
      <c r="F222" s="1694"/>
      <c r="G222" s="471" t="s">
        <v>124</v>
      </c>
      <c r="H222" s="1587"/>
      <c r="I222" s="1588"/>
      <c r="J222" s="200"/>
      <c r="K222" s="200"/>
      <c r="L222" s="200"/>
      <c r="M222" s="200"/>
      <c r="N222" s="200"/>
      <c r="P222"/>
    </row>
    <row r="223" spans="1:22" s="38" customFormat="1" ht="24" customHeight="1" x14ac:dyDescent="0.25">
      <c r="A223" s="200"/>
      <c r="B223" s="1695" t="s">
        <v>1550</v>
      </c>
      <c r="C223" s="1696"/>
      <c r="D223" s="1696"/>
      <c r="E223" s="1696"/>
      <c r="F223" s="1697"/>
      <c r="G223" s="871" t="s">
        <v>124</v>
      </c>
      <c r="H223" s="1587"/>
      <c r="I223" s="1588"/>
      <c r="J223" s="200"/>
      <c r="K223" s="200"/>
      <c r="L223" s="200"/>
      <c r="M223" s="200"/>
      <c r="N223" s="200"/>
      <c r="P223"/>
      <c r="Q223"/>
    </row>
    <row r="224" spans="1:22" s="38" customFormat="1" ht="21" customHeight="1" x14ac:dyDescent="0.25">
      <c r="A224" s="200"/>
      <c r="B224" s="1200" t="s">
        <v>1108</v>
      </c>
      <c r="C224" s="200"/>
      <c r="D224" s="200"/>
      <c r="E224" s="200"/>
      <c r="F224" s="200"/>
      <c r="G224" s="200"/>
      <c r="H224" s="200"/>
      <c r="I224" s="200"/>
      <c r="J224" s="200"/>
      <c r="K224" s="200"/>
      <c r="L224" s="200"/>
      <c r="M224" s="200"/>
      <c r="N224" s="200"/>
      <c r="P224"/>
      <c r="Q224"/>
    </row>
    <row r="225" spans="1:22" s="38" customFormat="1" ht="18" customHeight="1" x14ac:dyDescent="0.25">
      <c r="A225" s="200"/>
      <c r="B225" s="1685" t="s">
        <v>2596</v>
      </c>
      <c r="C225" s="1686"/>
      <c r="D225" s="1686"/>
      <c r="E225" s="1686"/>
      <c r="F225" s="1686"/>
      <c r="G225" s="934" t="s">
        <v>1737</v>
      </c>
      <c r="H225" s="1589" t="s">
        <v>1738</v>
      </c>
      <c r="I225" s="1590"/>
      <c r="J225" s="200"/>
      <c r="K225" s="200"/>
      <c r="L225" s="200"/>
      <c r="M225" s="200"/>
      <c r="N225" s="200"/>
      <c r="O225"/>
      <c r="P225"/>
      <c r="Q225"/>
      <c r="R225"/>
    </row>
    <row r="226" spans="1:22" ht="28.5" customHeight="1" x14ac:dyDescent="0.25">
      <c r="A226" s="200"/>
      <c r="B226" s="1692" t="s">
        <v>1112</v>
      </c>
      <c r="C226" s="1693"/>
      <c r="D226" s="1693"/>
      <c r="E226" s="1693"/>
      <c r="F226" s="1694"/>
      <c r="G226" s="483" t="s">
        <v>124</v>
      </c>
      <c r="H226" s="1587"/>
      <c r="I226" s="1588"/>
      <c r="J226" s="200"/>
      <c r="K226" s="200"/>
      <c r="L226" s="200"/>
      <c r="M226" s="200"/>
      <c r="N226" s="200"/>
      <c r="P226" s="38"/>
      <c r="T226" s="38"/>
      <c r="U226" s="38"/>
      <c r="V226" s="38"/>
    </row>
    <row r="227" spans="1:22" ht="24" customHeight="1" x14ac:dyDescent="0.25">
      <c r="A227" s="200"/>
      <c r="B227" s="1692" t="s">
        <v>1550</v>
      </c>
      <c r="C227" s="1693"/>
      <c r="D227" s="1693"/>
      <c r="E227" s="1693"/>
      <c r="F227" s="1694"/>
      <c r="G227" s="871" t="s">
        <v>124</v>
      </c>
      <c r="H227" s="1587"/>
      <c r="I227" s="1588"/>
      <c r="J227" s="200"/>
      <c r="K227" s="200"/>
      <c r="L227" s="200"/>
      <c r="M227" s="200"/>
      <c r="N227" s="200"/>
      <c r="Q227" s="38"/>
      <c r="T227" s="38"/>
      <c r="U227" s="38"/>
      <c r="V227" s="38"/>
    </row>
    <row r="228" spans="1:22" ht="19.5" customHeight="1" x14ac:dyDescent="0.25">
      <c r="A228" s="200"/>
      <c r="B228" s="200"/>
      <c r="C228" s="200"/>
      <c r="D228" s="200"/>
      <c r="E228" s="200"/>
      <c r="F228" s="200"/>
      <c r="G228" s="200"/>
      <c r="H228" s="200"/>
      <c r="I228" s="200"/>
      <c r="J228" s="200"/>
      <c r="K228" s="200"/>
      <c r="L228" s="200"/>
      <c r="M228" s="200"/>
      <c r="N228" s="200"/>
      <c r="O228" s="38"/>
    </row>
    <row r="229" spans="1:22" ht="16.5" customHeight="1" x14ac:dyDescent="0.25">
      <c r="A229" s="1592" t="s">
        <v>22</v>
      </c>
      <c r="B229" s="1592"/>
      <c r="C229" s="1592"/>
      <c r="D229" s="200"/>
      <c r="E229" s="200"/>
      <c r="F229" s="200"/>
      <c r="G229" s="200"/>
      <c r="H229" s="200"/>
      <c r="I229" s="200"/>
      <c r="J229" s="200"/>
      <c r="K229" s="200"/>
      <c r="L229" s="200"/>
      <c r="M229" s="200"/>
      <c r="N229" s="200"/>
      <c r="R229" s="38"/>
      <c r="S229" s="38"/>
    </row>
    <row r="230" spans="1:22" ht="14.25" customHeight="1" x14ac:dyDescent="0.25">
      <c r="A230" s="200"/>
      <c r="B230" s="200"/>
      <c r="C230" s="200"/>
      <c r="D230" s="200"/>
      <c r="E230" s="200"/>
      <c r="F230" s="200"/>
      <c r="G230" s="200"/>
      <c r="H230" s="200"/>
      <c r="I230" s="200"/>
      <c r="J230" s="200"/>
      <c r="K230" s="200"/>
      <c r="L230" s="200"/>
      <c r="M230" s="200"/>
      <c r="N230" s="200"/>
    </row>
    <row r="231" spans="1:22" ht="18" customHeight="1" x14ac:dyDescent="0.25">
      <c r="A231" s="200"/>
      <c r="B231" s="171" t="s">
        <v>53</v>
      </c>
      <c r="C231" s="1328" t="str">
        <f>IF(D127="Performance Path",IF(E216=0,0,IF(E216&gt;=0.3,3,IF(E216&gt;=0.2,2,IF(E216&gt;=0.1,1,0))))+IF(E217="Yes",1,0),"")</f>
        <v/>
      </c>
      <c r="D231" s="200"/>
      <c r="E231" s="200"/>
      <c r="F231" s="200"/>
      <c r="G231" s="200"/>
      <c r="H231" s="200"/>
      <c r="I231" s="200"/>
      <c r="J231" s="200"/>
      <c r="K231" s="200"/>
      <c r="L231" s="200"/>
      <c r="M231" s="200"/>
      <c r="N231" s="200"/>
    </row>
    <row r="232" spans="1:22" ht="18" customHeight="1" x14ac:dyDescent="0.25">
      <c r="A232" s="200"/>
      <c r="B232" s="171" t="s">
        <v>492</v>
      </c>
      <c r="C232" s="1328" t="str">
        <f>IF(D127="Performance Path",IF(E217="Yes",IF(AND(G222="Submitted",G223="Submitted",G226="Submitted",G227="Submitted",C231&gt;0),"Yes","No"),IF(AND(G226="Submitted",G227="Submitted",C231&gt;0),"Yes","No")),"")</f>
        <v/>
      </c>
      <c r="D232" s="200"/>
      <c r="E232" s="200"/>
      <c r="F232" s="200"/>
      <c r="G232" s="200"/>
      <c r="H232" s="200"/>
      <c r="I232" s="200"/>
      <c r="J232" s="200"/>
      <c r="K232" s="200"/>
      <c r="L232" s="200"/>
      <c r="M232" s="200"/>
      <c r="N232" s="200"/>
    </row>
    <row r="233" spans="1:22" ht="18" customHeight="1" x14ac:dyDescent="0.25">
      <c r="A233" s="200"/>
      <c r="B233" s="200"/>
      <c r="C233" s="200"/>
      <c r="D233" s="200"/>
      <c r="E233" s="200"/>
      <c r="F233" s="200"/>
      <c r="G233" s="200"/>
      <c r="H233" s="200"/>
      <c r="I233" s="200"/>
      <c r="J233" s="200"/>
      <c r="K233" s="200"/>
      <c r="L233" s="200"/>
      <c r="M233" s="200"/>
      <c r="N233" s="200"/>
    </row>
    <row r="234" spans="1:22" hidden="1" x14ac:dyDescent="0.25">
      <c r="A234" s="200"/>
      <c r="B234" s="200"/>
      <c r="C234" s="200"/>
      <c r="D234" s="200"/>
      <c r="E234" s="200"/>
      <c r="F234" s="200"/>
      <c r="G234" s="200"/>
      <c r="H234" s="200"/>
      <c r="I234" s="200"/>
      <c r="J234" s="200"/>
      <c r="K234" s="200"/>
      <c r="L234" s="200"/>
      <c r="M234" s="200"/>
      <c r="N234" s="200"/>
    </row>
    <row r="235" spans="1:22" hidden="1" x14ac:dyDescent="0.25"/>
    <row r="236" spans="1:22" hidden="1" x14ac:dyDescent="0.25"/>
    <row r="237" spans="1:22" hidden="1" x14ac:dyDescent="0.25"/>
    <row r="238" spans="1:22" hidden="1" x14ac:dyDescent="0.25"/>
    <row r="239" spans="1:22" hidden="1" x14ac:dyDescent="0.25"/>
    <row r="240" spans="1:22"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sheetData>
  <sheetProtection algorithmName="SHA-512" hashValue="47sOsAuIoq47olFSihciy8/B8ppZGDtTLF6iSZpELhWknT+n43cyE30dsJ9/2yc4OGDdRlfkdWM2tKd/bK+YhA==" saltValue="DZrV5nYSXtH7jK7Orp4jDQ==" spinCount="100000" sheet="1" objects="1" scenarios="1"/>
  <dataConsolidate/>
  <mergeCells count="126">
    <mergeCell ref="K213:N213"/>
    <mergeCell ref="K206:N206"/>
    <mergeCell ref="B180:F180"/>
    <mergeCell ref="K207:N207"/>
    <mergeCell ref="K211:N211"/>
    <mergeCell ref="K212:N212"/>
    <mergeCell ref="B31:F31"/>
    <mergeCell ref="K83:N83"/>
    <mergeCell ref="B89:I90"/>
    <mergeCell ref="B87:I88"/>
    <mergeCell ref="B86:I86"/>
    <mergeCell ref="B91:I91"/>
    <mergeCell ref="B92:I92"/>
    <mergeCell ref="B93:I93"/>
    <mergeCell ref="H71:I71"/>
    <mergeCell ref="B116:F116"/>
    <mergeCell ref="B133:J133"/>
    <mergeCell ref="B135:J135"/>
    <mergeCell ref="A80:N80"/>
    <mergeCell ref="A75:C75"/>
    <mergeCell ref="B13:F13"/>
    <mergeCell ref="B71:F71"/>
    <mergeCell ref="H14:H15"/>
    <mergeCell ref="B16:F16"/>
    <mergeCell ref="H21:H26"/>
    <mergeCell ref="B24:F24"/>
    <mergeCell ref="B25:F25"/>
    <mergeCell ref="B23:F23"/>
    <mergeCell ref="B18:F18"/>
    <mergeCell ref="H27:H30"/>
    <mergeCell ref="B27:F27"/>
    <mergeCell ref="B28:F28"/>
    <mergeCell ref="B29:F29"/>
    <mergeCell ref="G27:G30"/>
    <mergeCell ref="A39:C39"/>
    <mergeCell ref="A33:N33"/>
    <mergeCell ref="A37:N37"/>
    <mergeCell ref="B67:E67"/>
    <mergeCell ref="A69:C69"/>
    <mergeCell ref="B43:G43"/>
    <mergeCell ref="B44:G44"/>
    <mergeCell ref="B45:G45"/>
    <mergeCell ref="B46:G46"/>
    <mergeCell ref="I14:I15"/>
    <mergeCell ref="G16:G17"/>
    <mergeCell ref="I16:I17"/>
    <mergeCell ref="H16:H17"/>
    <mergeCell ref="B14:F14"/>
    <mergeCell ref="B20:F20"/>
    <mergeCell ref="B22:F22"/>
    <mergeCell ref="B15:F15"/>
    <mergeCell ref="B17:F17"/>
    <mergeCell ref="G14:G15"/>
    <mergeCell ref="G21:G26"/>
    <mergeCell ref="H226:I226"/>
    <mergeCell ref="H227:I227"/>
    <mergeCell ref="H164:I164"/>
    <mergeCell ref="I27:I30"/>
    <mergeCell ref="B21:F21"/>
    <mergeCell ref="B26:F26"/>
    <mergeCell ref="B35:C35"/>
    <mergeCell ref="I21:I26"/>
    <mergeCell ref="B30:F30"/>
    <mergeCell ref="B112:E112"/>
    <mergeCell ref="H116:I116"/>
    <mergeCell ref="B155:D155"/>
    <mergeCell ref="B154:D154"/>
    <mergeCell ref="A137:C137"/>
    <mergeCell ref="A131:C131"/>
    <mergeCell ref="A125:N125"/>
    <mergeCell ref="A129:N129"/>
    <mergeCell ref="H160:I160"/>
    <mergeCell ref="H161:I161"/>
    <mergeCell ref="A120:C120"/>
    <mergeCell ref="A114:C114"/>
    <mergeCell ref="K204:N204"/>
    <mergeCell ref="K205:N205"/>
    <mergeCell ref="H165:I165"/>
    <mergeCell ref="A229:C229"/>
    <mergeCell ref="B72:F72"/>
    <mergeCell ref="B73:F73"/>
    <mergeCell ref="B160:F160"/>
    <mergeCell ref="B164:F164"/>
    <mergeCell ref="B117:F117"/>
    <mergeCell ref="B118:F118"/>
    <mergeCell ref="B222:F222"/>
    <mergeCell ref="B226:F226"/>
    <mergeCell ref="B223:F223"/>
    <mergeCell ref="B227:F227"/>
    <mergeCell ref="A82:C82"/>
    <mergeCell ref="A96:C96"/>
    <mergeCell ref="A167:C167"/>
    <mergeCell ref="A174:C174"/>
    <mergeCell ref="A199:C199"/>
    <mergeCell ref="B161:F161"/>
    <mergeCell ref="B127:C127"/>
    <mergeCell ref="A219:C219"/>
    <mergeCell ref="B217:D217"/>
    <mergeCell ref="B165:F165"/>
    <mergeCell ref="B134:J134"/>
    <mergeCell ref="B176:J176"/>
    <mergeCell ref="B178:J178"/>
    <mergeCell ref="A1:N1"/>
    <mergeCell ref="I2:L4"/>
    <mergeCell ref="A172:N172"/>
    <mergeCell ref="B225:F225"/>
    <mergeCell ref="H225:I225"/>
    <mergeCell ref="H72:I72"/>
    <mergeCell ref="H73:I73"/>
    <mergeCell ref="H117:I117"/>
    <mergeCell ref="H118:I118"/>
    <mergeCell ref="B163:F163"/>
    <mergeCell ref="H163:I163"/>
    <mergeCell ref="B159:F159"/>
    <mergeCell ref="H159:I159"/>
    <mergeCell ref="B221:F221"/>
    <mergeCell ref="H221:I221"/>
    <mergeCell ref="H222:I222"/>
    <mergeCell ref="H223:I223"/>
    <mergeCell ref="K208:N208"/>
    <mergeCell ref="K209:N209"/>
    <mergeCell ref="K210:N210"/>
    <mergeCell ref="A5:N7"/>
    <mergeCell ref="B216:D216"/>
    <mergeCell ref="A157:C157"/>
    <mergeCell ref="A9:N9"/>
  </mergeCells>
  <conditionalFormatting sqref="F51:F65">
    <cfRule type="expression" dxfId="349" priority="1">
      <formula>$E51&lt;&gt;"normal fans"</formula>
    </cfRule>
  </conditionalFormatting>
  <dataValidations xWindow="115" yWindow="597" count="13">
    <dataValidation allowBlank="1" showInputMessage="1" showErrorMessage="1" prompt="Enter the cooling capacity of the air-conditioning unit at rating conditions." sqref="H204:H213" xr:uid="{00000000-0002-0000-0E00-000000000000}"/>
    <dataValidation type="list" allowBlank="1" showInputMessage="1" showErrorMessage="1" sqref="D142:D151 D204:D213" xr:uid="{00000000-0002-0000-0E00-000001000000}">
      <formula1>type_AC</formula1>
    </dataValidation>
    <dataValidation type="list" allowBlank="1" showInputMessage="1" showErrorMessage="1" sqref="D127 D35" xr:uid="{00000000-0002-0000-0E00-000002000000}">
      <formula1>"Select,Prescriptive Path, Performance Path"</formula1>
    </dataValidation>
    <dataValidation allowBlank="1" showInputMessage="1" showErrorMessage="1" prompt="Example: _x000a_4 openings: 1 opening of 2 m2, 1 opening of 3m2 and 2 openings of 2.5 m2_x000a_Write information as follows:_x000a_&quot;1 OP1 - 2 m2_x000a_1 OP2 - 3 m2_x000a_2 OP3 - 2.5 m2&quot;" sqref="D100:D110" xr:uid="{00000000-0002-0000-0E00-000003000000}"/>
    <dataValidation allowBlank="1" showInputMessage="1" showErrorMessage="1" prompt="- If the openings are on adjacent walls, they must be at least 3 meters apart at their closest point._x000a_- Distance between the supply and exhaust openings is not more than 15 meters" sqref="H100" xr:uid="{00000000-0002-0000-0E00-000004000000}"/>
    <dataValidation allowBlank="1" showInputMessage="1" showErrorMessage="1" prompt="There should not be more than one doorway or opening smaller than 2 m2 between the ventilation openings." sqref="I100" xr:uid="{00000000-0002-0000-0E00-000005000000}"/>
    <dataValidation type="list" allowBlank="1" showInputMessage="1" showErrorMessage="1" sqref="G117:G118 G160:G161 G72:G73 G226:G227 G164:G165 G222:G223" xr:uid="{00000000-0002-0000-0E00-000006000000}">
      <formula1>"Select,Submitted,Not submitted"</formula1>
    </dataValidation>
    <dataValidation type="list" allowBlank="1" showInputMessage="1" showErrorMessage="1" sqref="F204:F213 F142:F151 E101:F110 D51:D65" xr:uid="{00000000-0002-0000-0E00-000007000000}">
      <formula1>"Select,Yes,No"</formula1>
    </dataValidation>
    <dataValidation type="list" allowBlank="1" showInputMessage="1" showErrorMessage="1" sqref="G101:G110" xr:uid="{00000000-0002-0000-0E00-000008000000}">
      <formula1>"Select,on opposite walls,on adjacent walls"</formula1>
    </dataValidation>
    <dataValidation allowBlank="1" showInputMessage="1" showErrorMessage="1" prompt="Enter the name of the living room or bedroom" sqref="B101:B110" xr:uid="{00000000-0002-0000-0E00-000009000000}"/>
    <dataValidation type="list" allowBlank="1" showInputMessage="1" showErrorMessage="1" sqref="G142:G151" xr:uid="{00000000-0002-0000-0E00-00000A000000}">
      <formula1>"Select,no star, 1 star, 2 stars, 3 stars, 4 stars, 5 stars"</formula1>
    </dataValidation>
    <dataValidation allowBlank="1" showInputMessage="1" showErrorMessage="1" prompt="If normal fans are used, enter the number of fans installed in the space to calculate the density of fans." sqref="F50:F65" xr:uid="{00000000-0002-0000-0E00-00000B000000}"/>
    <dataValidation type="list" allowBlank="1" showInputMessage="1" showErrorMessage="1" sqref="E51:E65" xr:uid="{00000000-0002-0000-0E00-00000C000000}">
      <formula1>"Select, normal fans, HVLS fans, cross ventilation,none"</formula1>
    </dataValidation>
  </dataValidations>
  <hyperlinks>
    <hyperlink ref="N2" location="'E-5 Energy Efficient Appliances'!B3" tooltip="E-5" display="E-5" xr:uid="{00000000-0004-0000-0E00-000000000000}"/>
    <hyperlink ref="N4" location="'Energy BPC'!B3" tooltip="BPC" display="BPC" xr:uid="{00000000-0004-0000-0E00-000001000000}"/>
    <hyperlink ref="M4" location="'E-4 Artificial Lighting'!D3" tooltip="E-4" display="E-4" xr:uid="{00000000-0004-0000-0E00-000002000000}"/>
    <hyperlink ref="M3" location="'E-2 Building Envelope'!B3" tooltip="E-2" display="E-2" xr:uid="{00000000-0004-0000-0E00-000003000000}"/>
    <hyperlink ref="M2" location="'E-1 Passive Design'!B3" tooltip="E-1" display="E-1" xr:uid="{00000000-0004-0000-0E00-000004000000}"/>
    <hyperlink ref="N3" location="'E-6 Energy Monitor'!B3" tooltip="E-6" display="E-6" xr:uid="{00000000-0004-0000-0E00-000005000000}"/>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58B527"/>
  </sheetPr>
  <dimension ref="A1:P261"/>
  <sheetViews>
    <sheetView showRowColHeaders="0" zoomScaleNormal="100" workbookViewId="0">
      <pane ySplit="8" topLeftCell="A9" activePane="bottomLeft" state="frozen"/>
      <selection activeCell="E9" sqref="E9:F9"/>
      <selection pane="bottomLeft" activeCell="A9" sqref="A9:K9"/>
    </sheetView>
  </sheetViews>
  <sheetFormatPr defaultColWidth="0" defaultRowHeight="15" zeroHeight="1" x14ac:dyDescent="0.25"/>
  <cols>
    <col min="1" max="1" width="4.140625" style="38" customWidth="1"/>
    <col min="2" max="5" width="20.7109375" style="38" customWidth="1"/>
    <col min="6" max="6" width="18.42578125" style="38" customWidth="1"/>
    <col min="7" max="8" width="20.85546875" style="38" customWidth="1"/>
    <col min="9" max="9" width="13" style="38" customWidth="1"/>
    <col min="10" max="11" width="8.7109375" style="38" customWidth="1"/>
    <col min="12" max="12" width="35.28515625" style="38" hidden="1" customWidth="1"/>
    <col min="13" max="16384" width="9.140625" style="38" hidden="1"/>
  </cols>
  <sheetData>
    <row r="1" spans="1:12" ht="25.5" customHeight="1" x14ac:dyDescent="0.25">
      <c r="A1" s="1584" t="s">
        <v>21</v>
      </c>
      <c r="B1" s="1584"/>
      <c r="C1" s="1584"/>
      <c r="D1" s="1584"/>
      <c r="E1" s="1584"/>
      <c r="F1" s="1584"/>
      <c r="G1" s="1584"/>
      <c r="H1" s="1584"/>
      <c r="I1" s="1584"/>
      <c r="J1" s="1584"/>
      <c r="K1" s="1584"/>
    </row>
    <row r="2" spans="1:12" ht="15" customHeight="1" x14ac:dyDescent="0.25">
      <c r="A2" s="50"/>
      <c r="B2" s="50"/>
      <c r="C2" s="50"/>
      <c r="D2" s="50"/>
      <c r="E2" s="50"/>
      <c r="F2" s="49"/>
      <c r="G2" s="1585" t="s">
        <v>2282</v>
      </c>
      <c r="H2" s="1585"/>
      <c r="I2" s="1585"/>
      <c r="J2" s="212" t="s">
        <v>59</v>
      </c>
      <c r="K2" s="212" t="s">
        <v>74</v>
      </c>
    </row>
    <row r="3" spans="1:12" ht="15" customHeight="1" x14ac:dyDescent="0.25">
      <c r="A3" s="50"/>
      <c r="B3" s="50"/>
      <c r="C3" s="50"/>
      <c r="D3" s="50"/>
      <c r="E3" s="50"/>
      <c r="F3" s="49"/>
      <c r="G3" s="1585"/>
      <c r="H3" s="1585"/>
      <c r="I3" s="1585"/>
      <c r="J3" s="212" t="s">
        <v>63</v>
      </c>
      <c r="K3" s="212" t="s">
        <v>78</v>
      </c>
    </row>
    <row r="4" spans="1:12" ht="15" customHeight="1" x14ac:dyDescent="0.25">
      <c r="A4" s="50"/>
      <c r="B4" s="50"/>
      <c r="C4" s="50"/>
      <c r="D4" s="50"/>
      <c r="E4" s="50"/>
      <c r="F4" s="49"/>
      <c r="G4" s="1586"/>
      <c r="H4" s="1586"/>
      <c r="I4" s="1586"/>
      <c r="J4" s="212" t="s">
        <v>67</v>
      </c>
      <c r="K4" s="212" t="s">
        <v>76</v>
      </c>
    </row>
    <row r="5" spans="1:12" ht="21" customHeight="1" x14ac:dyDescent="0.25">
      <c r="A5" s="1600" t="s">
        <v>2575</v>
      </c>
      <c r="B5" s="1601"/>
      <c r="C5" s="1601"/>
      <c r="D5" s="1601"/>
      <c r="E5" s="1601"/>
      <c r="F5" s="1601"/>
      <c r="G5" s="1601"/>
      <c r="H5" s="1601"/>
      <c r="I5" s="1601"/>
      <c r="J5" s="1601"/>
      <c r="K5" s="1601"/>
    </row>
    <row r="6" spans="1:12" ht="21" customHeight="1" x14ac:dyDescent="0.25">
      <c r="A6" s="1603"/>
      <c r="B6" s="1604"/>
      <c r="C6" s="1604"/>
      <c r="D6" s="1604"/>
      <c r="E6" s="1604"/>
      <c r="F6" s="1604"/>
      <c r="G6" s="1604"/>
      <c r="H6" s="1604"/>
      <c r="I6" s="1604"/>
      <c r="J6" s="1604"/>
      <c r="K6" s="1604"/>
    </row>
    <row r="7" spans="1:12" ht="21" customHeight="1" x14ac:dyDescent="0.25">
      <c r="A7" s="1606"/>
      <c r="B7" s="1607"/>
      <c r="C7" s="1607"/>
      <c r="D7" s="1607"/>
      <c r="E7" s="1607"/>
      <c r="F7" s="1607"/>
      <c r="G7" s="1607"/>
      <c r="H7" s="1607"/>
      <c r="I7" s="1607"/>
      <c r="J7" s="1607"/>
      <c r="K7" s="1607"/>
    </row>
    <row r="8" spans="1:12" ht="10.5" customHeight="1" x14ac:dyDescent="0.25">
      <c r="A8" s="49"/>
      <c r="B8" s="50"/>
      <c r="C8" s="50"/>
      <c r="D8" s="50"/>
      <c r="E8" s="50"/>
      <c r="F8" s="49"/>
      <c r="G8" s="49"/>
      <c r="H8" s="49"/>
      <c r="I8" s="49"/>
      <c r="J8" s="49"/>
      <c r="K8" s="49"/>
    </row>
    <row r="9" spans="1:12" ht="18" customHeight="1" x14ac:dyDescent="0.25">
      <c r="A9" s="1591" t="s">
        <v>177</v>
      </c>
      <c r="B9" s="1591"/>
      <c r="C9" s="1591"/>
      <c r="D9" s="1591"/>
      <c r="E9" s="1591"/>
      <c r="F9" s="1591"/>
      <c r="G9" s="1591"/>
      <c r="H9" s="1591"/>
      <c r="I9" s="1591"/>
      <c r="J9" s="1591"/>
      <c r="K9" s="1591"/>
    </row>
    <row r="10" spans="1:12" x14ac:dyDescent="0.25">
      <c r="A10" s="49"/>
      <c r="B10" s="50"/>
      <c r="C10" s="50"/>
      <c r="D10" s="50"/>
      <c r="E10" s="50"/>
      <c r="F10" s="49"/>
      <c r="G10" s="49"/>
      <c r="H10" s="49"/>
      <c r="I10" s="49"/>
      <c r="J10" s="49"/>
      <c r="K10" s="49"/>
    </row>
    <row r="11" spans="1:12" ht="18" customHeight="1" x14ac:dyDescent="0.25">
      <c r="A11" s="49"/>
      <c r="B11" s="1609" t="s">
        <v>178</v>
      </c>
      <c r="C11" s="1610"/>
      <c r="D11" s="1610"/>
      <c r="E11" s="1610"/>
      <c r="F11" s="442" t="s">
        <v>152</v>
      </c>
      <c r="G11" s="442" t="s">
        <v>53</v>
      </c>
      <c r="H11" s="90" t="s">
        <v>492</v>
      </c>
      <c r="I11" s="49"/>
      <c r="J11" s="49"/>
      <c r="K11" s="49"/>
    </row>
    <row r="12" spans="1:12" ht="18" customHeight="1" x14ac:dyDescent="0.25">
      <c r="A12" s="49"/>
      <c r="B12" s="1773" t="s">
        <v>2231</v>
      </c>
      <c r="C12" s="1774"/>
      <c r="D12" s="1774"/>
      <c r="E12" s="1774"/>
      <c r="F12" s="1774"/>
      <c r="G12" s="1774"/>
      <c r="H12" s="1775"/>
      <c r="I12" s="49"/>
      <c r="J12" s="49"/>
      <c r="K12" s="49"/>
    </row>
    <row r="13" spans="1:12" ht="54" customHeight="1" x14ac:dyDescent="0.25">
      <c r="A13" s="49"/>
      <c r="B13" s="1791" t="s">
        <v>2229</v>
      </c>
      <c r="C13" s="1792"/>
      <c r="D13" s="1792"/>
      <c r="E13" s="1793"/>
      <c r="F13" s="1165">
        <v>3</v>
      </c>
      <c r="G13" s="1165" t="str">
        <f>IF(D23&lt;&gt;"Prescriptive Path","/",C66)</f>
        <v>/</v>
      </c>
      <c r="H13" s="1165" t="str">
        <f>IF(D23&lt;&gt;"Prescriptive Path","/",C67)</f>
        <v>/</v>
      </c>
      <c r="I13" s="49"/>
      <c r="J13" s="49"/>
      <c r="K13" s="49"/>
      <c r="L13" s="38" t="str">
        <f>IF(G13="","No",IF(G13&lt;&gt;0,IF(H13="No","No","Yes"),"Yes"))</f>
        <v>Yes</v>
      </c>
    </row>
    <row r="14" spans="1:12" ht="54" customHeight="1" x14ac:dyDescent="0.25">
      <c r="A14" s="49"/>
      <c r="B14" s="1791" t="s">
        <v>2230</v>
      </c>
      <c r="C14" s="1792"/>
      <c r="D14" s="1792"/>
      <c r="E14" s="1793"/>
      <c r="F14" s="1165">
        <v>3</v>
      </c>
      <c r="G14" s="1165" t="str">
        <f>IF(D23&lt;&gt;"Performance Path","/",C129)</f>
        <v>/</v>
      </c>
      <c r="H14" s="1165" t="str">
        <f>IF(D23&lt;&gt;"Performance Path","/",C130)</f>
        <v>/</v>
      </c>
      <c r="I14" s="49"/>
      <c r="J14" s="49"/>
      <c r="K14" s="49"/>
      <c r="L14" s="38" t="str">
        <f>IF(G14="","No",IF(G14&lt;&gt;0,IF(H14="No","No","Yes"),"Yes"))</f>
        <v>Yes</v>
      </c>
    </row>
    <row r="15" spans="1:12" ht="18" customHeight="1" x14ac:dyDescent="0.25">
      <c r="A15" s="49"/>
      <c r="B15" s="1773" t="s">
        <v>2262</v>
      </c>
      <c r="C15" s="1774"/>
      <c r="D15" s="1774"/>
      <c r="E15" s="1774"/>
      <c r="F15" s="1774"/>
      <c r="G15" s="1774"/>
      <c r="H15" s="1775"/>
      <c r="I15" s="49"/>
      <c r="J15" s="49"/>
      <c r="K15" s="49"/>
    </row>
    <row r="16" spans="1:12" ht="24" customHeight="1" x14ac:dyDescent="0.25">
      <c r="A16" s="49"/>
      <c r="B16" s="1791" t="s">
        <v>2586</v>
      </c>
      <c r="C16" s="1792"/>
      <c r="D16" s="1792"/>
      <c r="E16" s="1793"/>
      <c r="F16" s="1165">
        <v>1</v>
      </c>
      <c r="G16" s="1165">
        <f>C186</f>
        <v>0</v>
      </c>
      <c r="H16" s="1165" t="str">
        <f>C187</f>
        <v>No</v>
      </c>
      <c r="I16" s="49"/>
      <c r="J16" s="49"/>
      <c r="K16" s="49"/>
      <c r="L16" s="38" t="str">
        <f>IF(G16="","No",IF(G16&lt;&gt;0,IF(H16="No","No","Yes"),"Yes"))</f>
        <v>Yes</v>
      </c>
    </row>
    <row r="17" spans="1:14" ht="18" customHeight="1" x14ac:dyDescent="0.25">
      <c r="A17" s="49"/>
      <c r="B17" s="1773" t="s">
        <v>2366</v>
      </c>
      <c r="C17" s="1774"/>
      <c r="D17" s="1774"/>
      <c r="E17" s="1774"/>
      <c r="F17" s="1774"/>
      <c r="G17" s="1774"/>
      <c r="H17" s="1775"/>
      <c r="I17" s="49"/>
      <c r="J17" s="49"/>
      <c r="K17" s="49"/>
    </row>
    <row r="18" spans="1:14" ht="24" customHeight="1" x14ac:dyDescent="0.25">
      <c r="A18" s="49"/>
      <c r="B18" s="1791" t="s">
        <v>2587</v>
      </c>
      <c r="C18" s="1792"/>
      <c r="D18" s="1792"/>
      <c r="E18" s="1793"/>
      <c r="F18" s="1165">
        <v>1</v>
      </c>
      <c r="G18" s="1165">
        <f>C132</f>
        <v>0</v>
      </c>
      <c r="H18" s="1165">
        <f>C133</f>
        <v>0</v>
      </c>
      <c r="I18" s="49"/>
      <c r="J18" s="49"/>
      <c r="K18" s="49"/>
      <c r="L18" s="38" t="str">
        <f>IF(G18="","No",IF(G18&lt;&gt;0,IF(H18="No","No","Yes"),"Yes"))</f>
        <v>Yes</v>
      </c>
    </row>
    <row r="19" spans="1:14" ht="18" customHeight="1" x14ac:dyDescent="0.25">
      <c r="A19" s="49"/>
      <c r="B19" s="1613" t="s">
        <v>79</v>
      </c>
      <c r="C19" s="1614"/>
      <c r="D19" s="1614"/>
      <c r="E19" s="1614"/>
      <c r="F19" s="1183">
        <v>4</v>
      </c>
      <c r="G19" s="1184">
        <f>MIN(4,SUM(G13:G14,G16,G18))</f>
        <v>0</v>
      </c>
      <c r="H19" s="1185" t="str">
        <f>IF(COUNTIF(H13:H18,"No")=4,"No",IF(COUNTIF(O13:O18,"Yes")=4,"Yes","No"))</f>
        <v>No</v>
      </c>
      <c r="I19" s="49"/>
      <c r="J19" s="49"/>
      <c r="K19" s="49"/>
    </row>
    <row r="20" spans="1:14" ht="19.5" customHeight="1" x14ac:dyDescent="0.25">
      <c r="A20" s="49"/>
      <c r="B20" s="50"/>
      <c r="C20" s="50"/>
      <c r="D20" s="50"/>
      <c r="E20" s="50"/>
      <c r="F20" s="49"/>
      <c r="G20" s="49"/>
      <c r="H20" s="49"/>
      <c r="I20" s="49"/>
      <c r="J20" s="49"/>
      <c r="K20" s="49"/>
    </row>
    <row r="21" spans="1:14" customFormat="1" ht="18" customHeight="1" x14ac:dyDescent="0.25">
      <c r="A21" s="1591" t="s">
        <v>2231</v>
      </c>
      <c r="B21" s="1591"/>
      <c r="C21" s="1591"/>
      <c r="D21" s="1591"/>
      <c r="E21" s="1591"/>
      <c r="F21" s="1591"/>
      <c r="G21" s="1591"/>
      <c r="H21" s="1591"/>
      <c r="I21" s="1591"/>
      <c r="J21" s="1591"/>
      <c r="K21" s="1591"/>
      <c r="L21" s="38"/>
      <c r="M21" s="89"/>
      <c r="N21" s="89"/>
    </row>
    <row r="22" spans="1:14" customFormat="1" ht="16.5" customHeight="1" x14ac:dyDescent="0.25">
      <c r="A22" s="4"/>
      <c r="B22" s="4"/>
      <c r="C22" s="4"/>
      <c r="D22" s="4"/>
      <c r="E22" s="4"/>
      <c r="F22" s="4"/>
      <c r="G22" s="5"/>
      <c r="H22" s="5"/>
      <c r="I22" s="5"/>
      <c r="J22" s="5"/>
      <c r="K22" s="5"/>
      <c r="L22" s="5"/>
      <c r="M22" s="5"/>
      <c r="N22" s="5"/>
    </row>
    <row r="23" spans="1:14" customFormat="1" ht="18" customHeight="1" x14ac:dyDescent="0.25">
      <c r="A23" s="4"/>
      <c r="B23" s="1679" t="s">
        <v>232</v>
      </c>
      <c r="C23" s="1680"/>
      <c r="D23" s="1166" t="s">
        <v>124</v>
      </c>
      <c r="E23" s="4"/>
      <c r="F23" s="4"/>
      <c r="G23" s="5"/>
      <c r="H23" s="5"/>
      <c r="I23" s="5"/>
      <c r="J23" s="5"/>
      <c r="K23" s="5"/>
      <c r="L23" s="5"/>
      <c r="M23" s="5"/>
      <c r="N23" s="5"/>
    </row>
    <row r="24" spans="1:14" customFormat="1" ht="16.5" customHeight="1" x14ac:dyDescent="0.25">
      <c r="A24" s="4"/>
      <c r="B24" s="4"/>
      <c r="C24" s="4"/>
      <c r="D24" s="4"/>
      <c r="E24" s="4"/>
      <c r="F24" s="4"/>
      <c r="G24" s="5"/>
      <c r="H24" s="5"/>
      <c r="I24" s="5"/>
      <c r="J24" s="5"/>
      <c r="K24" s="5"/>
      <c r="L24" s="5"/>
      <c r="M24" s="5"/>
      <c r="N24" s="5"/>
    </row>
    <row r="25" spans="1:14" ht="18" customHeight="1" x14ac:dyDescent="0.25">
      <c r="A25" s="1592" t="s">
        <v>514</v>
      </c>
      <c r="B25" s="1592"/>
      <c r="C25" s="1592"/>
      <c r="D25" s="1592"/>
      <c r="E25" s="1592"/>
      <c r="F25" s="1592"/>
      <c r="G25" s="1592"/>
      <c r="H25" s="1592"/>
      <c r="I25" s="1592"/>
      <c r="J25" s="1592"/>
      <c r="K25" s="1592"/>
    </row>
    <row r="26" spans="1:14" ht="15" customHeight="1" x14ac:dyDescent="0.25">
      <c r="A26" s="197"/>
      <c r="B26" s="197"/>
      <c r="C26" s="197"/>
      <c r="D26" s="197"/>
      <c r="E26" s="197"/>
      <c r="F26" s="197"/>
      <c r="G26" s="197"/>
      <c r="H26" s="197"/>
      <c r="I26" s="197"/>
      <c r="J26" s="197"/>
      <c r="K26" s="197"/>
    </row>
    <row r="27" spans="1:14" ht="16.5" customHeight="1" x14ac:dyDescent="0.25">
      <c r="A27" s="1592" t="s">
        <v>245</v>
      </c>
      <c r="B27" s="1592"/>
      <c r="C27" s="1592"/>
      <c r="D27" s="197"/>
      <c r="E27" s="197"/>
      <c r="F27" s="197"/>
      <c r="G27" s="197"/>
      <c r="H27" s="197"/>
      <c r="I27" s="197"/>
      <c r="J27" s="197"/>
      <c r="K27" s="197"/>
    </row>
    <row r="28" spans="1:14" ht="15" customHeight="1" x14ac:dyDescent="0.25">
      <c r="A28" s="197"/>
      <c r="B28" s="197"/>
      <c r="C28" s="197"/>
      <c r="D28" s="197"/>
      <c r="E28" s="197"/>
      <c r="F28" s="197"/>
      <c r="G28" s="197"/>
      <c r="H28" s="197"/>
      <c r="I28" s="197"/>
      <c r="J28" s="197"/>
      <c r="K28" s="197"/>
    </row>
    <row r="29" spans="1:14" ht="15" customHeight="1" x14ac:dyDescent="0.25">
      <c r="A29" s="197"/>
      <c r="B29" s="577" t="s">
        <v>1065</v>
      </c>
      <c r="C29" s="197"/>
      <c r="D29" s="197"/>
      <c r="E29" s="197"/>
      <c r="F29" s="197"/>
      <c r="G29" s="197"/>
      <c r="H29" s="197"/>
      <c r="I29" s="197"/>
      <c r="J29" s="197"/>
      <c r="K29" s="197"/>
    </row>
    <row r="30" spans="1:14" ht="15" customHeight="1" x14ac:dyDescent="0.25">
      <c r="A30" s="197"/>
      <c r="B30" s="197"/>
      <c r="C30" s="197"/>
      <c r="D30" s="197"/>
      <c r="E30" s="197"/>
      <c r="F30" s="197"/>
      <c r="G30" s="197"/>
      <c r="H30" s="197"/>
      <c r="I30" s="197"/>
      <c r="J30" s="197"/>
      <c r="K30" s="197"/>
    </row>
    <row r="31" spans="1:14" ht="18" customHeight="1" x14ac:dyDescent="0.25">
      <c r="A31" s="197"/>
      <c r="B31" s="1798" t="s">
        <v>1066</v>
      </c>
      <c r="C31" s="1799"/>
      <c r="D31" s="1799"/>
      <c r="E31" s="1799"/>
      <c r="F31" s="1799"/>
      <c r="G31" s="1799"/>
      <c r="H31" s="1799"/>
      <c r="I31" s="1800"/>
      <c r="J31" s="197"/>
      <c r="K31" s="197"/>
    </row>
    <row r="32" spans="1:14" ht="18" customHeight="1" x14ac:dyDescent="0.25">
      <c r="A32" s="197"/>
      <c r="B32" s="1801"/>
      <c r="C32" s="1802"/>
      <c r="D32" s="1802"/>
      <c r="E32" s="1802"/>
      <c r="F32" s="1802"/>
      <c r="G32" s="1802"/>
      <c r="H32" s="1802"/>
      <c r="I32" s="1803"/>
      <c r="J32" s="197"/>
      <c r="K32" s="197"/>
    </row>
    <row r="33" spans="1:13" ht="15" customHeight="1" x14ac:dyDescent="0.25">
      <c r="A33" s="197"/>
      <c r="B33" s="197"/>
      <c r="C33" s="197"/>
      <c r="D33" s="197"/>
      <c r="E33" s="197"/>
      <c r="F33" s="197"/>
      <c r="G33" s="197"/>
      <c r="H33" s="197"/>
      <c r="I33" s="197"/>
      <c r="J33" s="197"/>
      <c r="K33" s="197"/>
    </row>
    <row r="34" spans="1:13" ht="16.5" customHeight="1" x14ac:dyDescent="0.25">
      <c r="A34" s="1592" t="s">
        <v>23</v>
      </c>
      <c r="B34" s="1592"/>
      <c r="C34" s="1592"/>
      <c r="D34" s="197"/>
      <c r="E34" s="197"/>
      <c r="F34" s="197"/>
      <c r="G34" s="197"/>
      <c r="H34" s="197"/>
      <c r="I34" s="197"/>
      <c r="J34" s="197"/>
      <c r="K34" s="197"/>
    </row>
    <row r="35" spans="1:13" x14ac:dyDescent="0.25">
      <c r="A35" s="197"/>
      <c r="B35" s="197"/>
      <c r="C35" s="197"/>
      <c r="D35" s="197"/>
      <c r="E35" s="197"/>
      <c r="F35" s="197"/>
      <c r="G35" s="197"/>
      <c r="H35" s="197"/>
      <c r="I35" s="197"/>
      <c r="J35" s="197"/>
      <c r="K35" s="197"/>
    </row>
    <row r="36" spans="1:13" ht="15" customHeight="1" x14ac:dyDescent="0.25">
      <c r="A36" s="197"/>
      <c r="B36" s="578" t="s">
        <v>1515</v>
      </c>
      <c r="C36" s="197"/>
      <c r="D36" s="197"/>
      <c r="E36" s="197"/>
      <c r="F36" s="197"/>
      <c r="G36" s="197"/>
      <c r="H36" s="197"/>
      <c r="I36" s="197"/>
      <c r="J36" s="197"/>
      <c r="K36" s="197"/>
    </row>
    <row r="37" spans="1:13" ht="10.5" customHeight="1" x14ac:dyDescent="0.25">
      <c r="A37" s="197"/>
      <c r="B37" s="197"/>
      <c r="C37" s="197"/>
      <c r="D37" s="197"/>
      <c r="E37" s="197"/>
      <c r="F37" s="197"/>
      <c r="G37" s="197"/>
      <c r="H37" s="197"/>
      <c r="I37" s="197"/>
      <c r="J37" s="197"/>
      <c r="K37" s="197"/>
    </row>
    <row r="38" spans="1:13" ht="18" customHeight="1" x14ac:dyDescent="0.25">
      <c r="A38" s="197"/>
      <c r="B38" s="563" t="s">
        <v>241</v>
      </c>
      <c r="C38" s="561" t="s">
        <v>25</v>
      </c>
      <c r="D38" s="561" t="s">
        <v>26</v>
      </c>
      <c r="E38" s="561" t="s">
        <v>494</v>
      </c>
      <c r="F38" s="561" t="s">
        <v>495</v>
      </c>
      <c r="G38" s="562" t="s">
        <v>242</v>
      </c>
      <c r="H38" s="190"/>
      <c r="I38" s="190"/>
      <c r="J38" s="190"/>
      <c r="K38" s="190"/>
      <c r="L38" s="49"/>
      <c r="M38" s="50"/>
    </row>
    <row r="39" spans="1:13" x14ac:dyDescent="0.25">
      <c r="A39" s="197"/>
      <c r="B39" s="166"/>
      <c r="C39" s="879"/>
      <c r="D39" s="166"/>
      <c r="E39" s="879"/>
      <c r="F39" s="166"/>
      <c r="G39" s="201" t="str">
        <f>IFERROR(F39/E39,"")</f>
        <v/>
      </c>
      <c r="H39" s="190"/>
      <c r="I39" s="190"/>
      <c r="J39" s="190"/>
      <c r="K39" s="190"/>
      <c r="L39" s="49"/>
      <c r="M39" s="50"/>
    </row>
    <row r="40" spans="1:13" x14ac:dyDescent="0.25">
      <c r="A40" s="197"/>
      <c r="B40" s="166"/>
      <c r="C40" s="879"/>
      <c r="D40" s="166"/>
      <c r="E40" s="879"/>
      <c r="F40" s="166"/>
      <c r="G40" s="201" t="str">
        <f>IFERROR(F40/E40,"")</f>
        <v/>
      </c>
      <c r="H40" s="190"/>
      <c r="I40" s="190"/>
      <c r="J40" s="190"/>
      <c r="K40" s="190"/>
      <c r="L40" s="49"/>
      <c r="M40" s="50"/>
    </row>
    <row r="41" spans="1:13" x14ac:dyDescent="0.25">
      <c r="A41" s="197"/>
      <c r="B41" s="166"/>
      <c r="C41" s="879"/>
      <c r="D41" s="166"/>
      <c r="E41" s="879"/>
      <c r="F41" s="166"/>
      <c r="G41" s="201" t="str">
        <f>IFERROR(F41/E41,"")</f>
        <v/>
      </c>
      <c r="H41" s="190"/>
      <c r="I41" s="190"/>
      <c r="J41" s="190"/>
      <c r="K41" s="190"/>
      <c r="L41" s="49"/>
      <c r="M41" s="50"/>
    </row>
    <row r="42" spans="1:13" x14ac:dyDescent="0.25">
      <c r="A42" s="197"/>
      <c r="B42" s="166"/>
      <c r="C42" s="879"/>
      <c r="D42" s="166"/>
      <c r="E42" s="879"/>
      <c r="F42" s="166"/>
      <c r="G42" s="201" t="str">
        <f>IFERROR(F42/E42,"")</f>
        <v/>
      </c>
      <c r="H42" s="190"/>
      <c r="I42" s="190"/>
      <c r="J42" s="190"/>
      <c r="K42" s="190"/>
      <c r="L42" s="49"/>
      <c r="M42" s="50"/>
    </row>
    <row r="43" spans="1:13" x14ac:dyDescent="0.25">
      <c r="A43" s="197"/>
      <c r="B43" s="166"/>
      <c r="C43" s="879"/>
      <c r="D43" s="166"/>
      <c r="E43" s="879"/>
      <c r="F43" s="166"/>
      <c r="G43" s="201" t="str">
        <f>IFERROR(F43/E43,"")</f>
        <v/>
      </c>
      <c r="H43" s="190"/>
      <c r="I43" s="190"/>
      <c r="J43" s="190"/>
      <c r="K43" s="190"/>
      <c r="L43" s="49"/>
      <c r="M43" s="50"/>
    </row>
    <row r="44" spans="1:13" x14ac:dyDescent="0.25">
      <c r="A44" s="197"/>
      <c r="B44" s="166"/>
      <c r="C44" s="879"/>
      <c r="D44" s="166"/>
      <c r="E44" s="879"/>
      <c r="F44" s="166"/>
      <c r="G44" s="201"/>
      <c r="H44" s="190"/>
      <c r="I44" s="190"/>
      <c r="J44" s="190"/>
      <c r="K44" s="190"/>
      <c r="L44" s="49"/>
      <c r="M44" s="50"/>
    </row>
    <row r="45" spans="1:13" x14ac:dyDescent="0.25">
      <c r="A45" s="197"/>
      <c r="B45" s="166"/>
      <c r="C45" s="879"/>
      <c r="D45" s="166"/>
      <c r="E45" s="879"/>
      <c r="F45" s="166"/>
      <c r="G45" s="201"/>
      <c r="H45" s="190"/>
      <c r="I45" s="190"/>
      <c r="J45" s="190"/>
      <c r="K45" s="190"/>
      <c r="L45" s="49"/>
      <c r="M45" s="50"/>
    </row>
    <row r="46" spans="1:13" x14ac:dyDescent="0.25">
      <c r="A46" s="197"/>
      <c r="B46" s="166"/>
      <c r="C46" s="879"/>
      <c r="D46" s="166"/>
      <c r="E46" s="879"/>
      <c r="F46" s="166"/>
      <c r="G46" s="201"/>
      <c r="H46" s="190"/>
      <c r="I46" s="190"/>
      <c r="J46" s="190"/>
      <c r="K46" s="190"/>
      <c r="L46" s="49"/>
      <c r="M46" s="50"/>
    </row>
    <row r="47" spans="1:13" x14ac:dyDescent="0.25">
      <c r="A47" s="197"/>
      <c r="B47" s="166"/>
      <c r="C47" s="879"/>
      <c r="D47" s="166"/>
      <c r="E47" s="879"/>
      <c r="F47" s="166"/>
      <c r="G47" s="201"/>
      <c r="H47" s="190"/>
      <c r="I47" s="190"/>
      <c r="J47" s="190"/>
      <c r="K47" s="190"/>
      <c r="L47" s="49"/>
      <c r="M47" s="50"/>
    </row>
    <row r="48" spans="1:13" x14ac:dyDescent="0.25">
      <c r="A48" s="197"/>
      <c r="B48" s="166"/>
      <c r="C48" s="879"/>
      <c r="D48" s="166"/>
      <c r="E48" s="879"/>
      <c r="F48" s="166"/>
      <c r="G48" s="201"/>
      <c r="H48" s="190"/>
      <c r="I48" s="190"/>
      <c r="J48" s="190"/>
      <c r="K48" s="190"/>
      <c r="L48" s="49"/>
      <c r="M48" s="50"/>
    </row>
    <row r="49" spans="1:14" x14ac:dyDescent="0.25">
      <c r="A49" s="197"/>
      <c r="B49" s="166"/>
      <c r="C49" s="879"/>
      <c r="D49" s="166"/>
      <c r="E49" s="879"/>
      <c r="F49" s="166"/>
      <c r="G49" s="201"/>
      <c r="H49" s="190"/>
      <c r="I49" s="190"/>
      <c r="J49" s="190"/>
      <c r="K49" s="190"/>
      <c r="L49" s="49"/>
      <c r="M49" s="50"/>
    </row>
    <row r="50" spans="1:14" x14ac:dyDescent="0.25">
      <c r="A50" s="197"/>
      <c r="B50" s="166"/>
      <c r="C50" s="879"/>
      <c r="D50" s="166"/>
      <c r="E50" s="879"/>
      <c r="F50" s="166"/>
      <c r="G50" s="201"/>
      <c r="H50" s="190"/>
      <c r="I50" s="190"/>
      <c r="J50" s="190"/>
      <c r="K50" s="190"/>
      <c r="L50" s="49"/>
      <c r="M50" s="50"/>
    </row>
    <row r="51" spans="1:14" x14ac:dyDescent="0.25">
      <c r="A51" s="197"/>
      <c r="B51" s="166"/>
      <c r="C51" s="879"/>
      <c r="D51" s="166"/>
      <c r="E51" s="879"/>
      <c r="F51" s="166"/>
      <c r="G51" s="201"/>
      <c r="H51" s="190"/>
      <c r="I51" s="190"/>
      <c r="J51" s="190"/>
      <c r="K51" s="190"/>
      <c r="L51" s="49"/>
      <c r="M51" s="50"/>
    </row>
    <row r="52" spans="1:14" x14ac:dyDescent="0.25">
      <c r="A52" s="197"/>
      <c r="B52" s="166"/>
      <c r="C52" s="879"/>
      <c r="D52" s="166"/>
      <c r="E52" s="879"/>
      <c r="F52" s="166"/>
      <c r="G52" s="201"/>
      <c r="H52" s="190"/>
      <c r="I52" s="190"/>
      <c r="J52" s="190"/>
      <c r="K52" s="190"/>
      <c r="L52" s="49"/>
      <c r="M52" s="50"/>
    </row>
    <row r="53" spans="1:14" x14ac:dyDescent="0.25">
      <c r="A53" s="197"/>
      <c r="B53" s="166"/>
      <c r="C53" s="879"/>
      <c r="D53" s="166"/>
      <c r="E53" s="879"/>
      <c r="F53" s="166"/>
      <c r="G53" s="201" t="str">
        <f>IFERROR(F53/E53,"")</f>
        <v/>
      </c>
      <c r="H53" s="190"/>
      <c r="I53" s="190"/>
      <c r="J53" s="190"/>
      <c r="K53" s="197"/>
    </row>
    <row r="54" spans="1:14" ht="15" customHeight="1" x14ac:dyDescent="0.25">
      <c r="A54" s="197"/>
      <c r="B54" s="197"/>
      <c r="C54" s="197"/>
      <c r="D54" s="197"/>
      <c r="E54" s="197"/>
      <c r="F54" s="202" t="s">
        <v>501</v>
      </c>
      <c r="G54" s="203" t="str">
        <f>IFERROR(SUMPRODUCT(G39:G53,D39:D53,E39:E53)/SUMPRODUCT(D39:D53,E39:E53),"")</f>
        <v/>
      </c>
      <c r="H54" s="197"/>
      <c r="I54" s="204"/>
      <c r="J54" s="204"/>
      <c r="K54" s="197"/>
    </row>
    <row r="55" spans="1:14" ht="15" customHeight="1" x14ac:dyDescent="0.25">
      <c r="A55" s="197"/>
      <c r="B55" s="197"/>
      <c r="C55" s="197"/>
      <c r="D55" s="197"/>
      <c r="E55" s="197"/>
      <c r="F55" s="197"/>
      <c r="G55" s="197"/>
      <c r="H55" s="197"/>
      <c r="I55" s="204"/>
      <c r="J55" s="204"/>
      <c r="K55" s="197"/>
    </row>
    <row r="56" spans="1:14" ht="18" customHeight="1" x14ac:dyDescent="0.25">
      <c r="A56" s="197"/>
      <c r="B56" s="1623" t="s">
        <v>1058</v>
      </c>
      <c r="C56" s="1623"/>
      <c r="D56" s="194" t="str">
        <f>IF(G54="","",IF(G54&gt;=80,"80 lm/W",IF(G54&gt;=70,"70 lm/W",IF(G54&gt;=60,"60 lm/W",""))))</f>
        <v/>
      </c>
      <c r="E56" s="207"/>
      <c r="F56" s="197"/>
      <c r="G56" s="197"/>
      <c r="H56" s="197"/>
      <c r="I56" s="197"/>
      <c r="J56" s="197"/>
      <c r="K56" s="197"/>
    </row>
    <row r="57" spans="1:14" ht="18" customHeight="1" x14ac:dyDescent="0.25">
      <c r="A57" s="197"/>
      <c r="B57" s="197"/>
      <c r="C57" s="197"/>
      <c r="D57" s="197"/>
      <c r="E57" s="197"/>
      <c r="F57" s="197"/>
      <c r="G57" s="197"/>
      <c r="H57" s="197"/>
      <c r="I57" s="197"/>
      <c r="J57" s="197"/>
      <c r="K57" s="197"/>
    </row>
    <row r="58" spans="1:14" ht="16.5" customHeight="1" x14ac:dyDescent="0.25">
      <c r="A58" s="1592" t="s">
        <v>186</v>
      </c>
      <c r="B58" s="1592"/>
      <c r="C58" s="1592"/>
      <c r="D58" s="190"/>
      <c r="E58" s="190"/>
      <c r="F58" s="190"/>
      <c r="G58" s="190"/>
      <c r="H58" s="190"/>
      <c r="I58" s="190"/>
      <c r="J58" s="190"/>
      <c r="K58" s="190"/>
      <c r="L58" s="49"/>
      <c r="M58" s="49"/>
      <c r="N58" s="49"/>
    </row>
    <row r="59" spans="1:14" ht="16.5" customHeight="1" x14ac:dyDescent="0.25">
      <c r="A59" s="190"/>
      <c r="B59" s="190"/>
      <c r="C59" s="190"/>
      <c r="D59" s="190"/>
      <c r="E59" s="190"/>
      <c r="F59" s="190"/>
      <c r="G59" s="190"/>
      <c r="H59" s="190"/>
      <c r="I59" s="190"/>
      <c r="J59" s="190"/>
      <c r="K59" s="190"/>
      <c r="L59" s="49"/>
      <c r="M59" s="49"/>
      <c r="N59" s="49"/>
    </row>
    <row r="60" spans="1:14" ht="18" customHeight="1" x14ac:dyDescent="0.25">
      <c r="A60" s="190"/>
      <c r="B60" s="1582" t="s">
        <v>1739</v>
      </c>
      <c r="C60" s="1583"/>
      <c r="D60" s="1583"/>
      <c r="E60" s="1583"/>
      <c r="F60" s="1583"/>
      <c r="G60" s="934" t="s">
        <v>1737</v>
      </c>
      <c r="H60" s="1589" t="s">
        <v>1738</v>
      </c>
      <c r="I60" s="1590"/>
      <c r="J60" s="190"/>
      <c r="K60" s="190"/>
      <c r="L60" s="49"/>
      <c r="M60" s="49"/>
      <c r="N60" s="49"/>
    </row>
    <row r="61" spans="1:14" ht="21" customHeight="1" x14ac:dyDescent="0.25">
      <c r="A61" s="190"/>
      <c r="B61" s="1576" t="s">
        <v>1059</v>
      </c>
      <c r="C61" s="1577"/>
      <c r="D61" s="1577"/>
      <c r="E61" s="1577"/>
      <c r="F61" s="1578"/>
      <c r="G61" s="565" t="s">
        <v>124</v>
      </c>
      <c r="H61" s="1587"/>
      <c r="I61" s="1588"/>
      <c r="J61" s="190"/>
      <c r="K61" s="190"/>
      <c r="L61" s="49"/>
      <c r="M61" s="49"/>
      <c r="N61" s="49"/>
    </row>
    <row r="62" spans="1:14" ht="21" customHeight="1" x14ac:dyDescent="0.25">
      <c r="A62" s="190"/>
      <c r="B62" s="1576" t="s">
        <v>1064</v>
      </c>
      <c r="C62" s="1577"/>
      <c r="D62" s="1577"/>
      <c r="E62" s="1577"/>
      <c r="F62" s="1578"/>
      <c r="G62" s="565" t="s">
        <v>124</v>
      </c>
      <c r="H62" s="1587"/>
      <c r="I62" s="1588"/>
      <c r="J62" s="190"/>
      <c r="K62" s="190"/>
      <c r="L62" s="49"/>
      <c r="M62" s="49"/>
      <c r="N62" s="49"/>
    </row>
    <row r="63" spans="1:14" ht="18" customHeight="1" x14ac:dyDescent="0.25">
      <c r="A63" s="190"/>
      <c r="B63" s="190"/>
      <c r="C63" s="190"/>
      <c r="D63" s="190"/>
      <c r="E63" s="190"/>
      <c r="F63" s="190"/>
      <c r="G63" s="190"/>
      <c r="H63" s="190"/>
      <c r="I63" s="190"/>
      <c r="J63" s="190"/>
      <c r="K63" s="190"/>
      <c r="L63" s="49"/>
      <c r="M63" s="49"/>
      <c r="N63" s="49"/>
    </row>
    <row r="64" spans="1:14" ht="16.5" customHeight="1" x14ac:dyDescent="0.25">
      <c r="A64" s="1592" t="s">
        <v>22</v>
      </c>
      <c r="B64" s="1592"/>
      <c r="C64" s="1592"/>
      <c r="D64" s="190"/>
      <c r="E64" s="190"/>
      <c r="F64" s="190"/>
      <c r="G64" s="190"/>
      <c r="H64" s="190"/>
      <c r="I64" s="190"/>
      <c r="J64" s="190"/>
      <c r="K64" s="190"/>
    </row>
    <row r="65" spans="1:14" ht="12" customHeight="1" x14ac:dyDescent="0.25">
      <c r="A65" s="197"/>
      <c r="B65" s="197"/>
      <c r="C65" s="197"/>
      <c r="D65" s="197"/>
      <c r="E65" s="197"/>
      <c r="F65" s="190"/>
      <c r="G65" s="190"/>
      <c r="H65" s="190"/>
      <c r="I65" s="190"/>
      <c r="J65" s="190"/>
      <c r="K65" s="190"/>
    </row>
    <row r="66" spans="1:14" ht="17.25" customHeight="1" x14ac:dyDescent="0.25">
      <c r="A66" s="197"/>
      <c r="B66" s="205" t="s">
        <v>53</v>
      </c>
      <c r="C66" s="1328" t="str">
        <f>IF(D23="Prescriptive Path",IF(D56="",0,IF(D56="80 lm/W",3,IF(D56="70 lm/W",2,IF(D56="60 lm/W",1,0)))),"")</f>
        <v/>
      </c>
      <c r="D66" s="197"/>
      <c r="E66" s="190"/>
      <c r="F66" s="190"/>
      <c r="G66" s="190"/>
      <c r="H66" s="190"/>
      <c r="I66" s="190"/>
      <c r="J66" s="190"/>
      <c r="K66" s="190"/>
    </row>
    <row r="67" spans="1:14" ht="17.25" customHeight="1" x14ac:dyDescent="0.25">
      <c r="A67" s="197"/>
      <c r="B67" s="205" t="s">
        <v>492</v>
      </c>
      <c r="C67" s="1328" t="str">
        <f>IF(D23="Prescriptive Path",IF(AND(G61="Submitted",G62="Submitted",C66&gt;0),"Yes","No"),"")</f>
        <v/>
      </c>
      <c r="D67" s="197"/>
      <c r="E67" s="197"/>
      <c r="F67" s="190"/>
      <c r="G67" s="190"/>
      <c r="H67" s="190"/>
      <c r="I67" s="190"/>
      <c r="J67" s="190"/>
      <c r="K67" s="190"/>
    </row>
    <row r="68" spans="1:14" ht="17.25" customHeight="1" x14ac:dyDescent="0.25">
      <c r="A68" s="198"/>
      <c r="B68" s="198"/>
      <c r="C68" s="198"/>
      <c r="D68" s="198"/>
      <c r="E68" s="198"/>
      <c r="F68" s="198"/>
      <c r="G68" s="198"/>
      <c r="H68" s="198"/>
      <c r="I68" s="198"/>
      <c r="J68" s="198"/>
      <c r="K68" s="198"/>
    </row>
    <row r="69" spans="1:14" ht="18" customHeight="1" x14ac:dyDescent="0.25">
      <c r="A69" s="1592" t="s">
        <v>515</v>
      </c>
      <c r="B69" s="1592"/>
      <c r="C69" s="1592"/>
      <c r="D69" s="1592"/>
      <c r="E69" s="1592"/>
      <c r="F69" s="1592"/>
      <c r="G69" s="1592"/>
      <c r="H69" s="1592"/>
      <c r="I69" s="1592"/>
      <c r="J69" s="1592"/>
      <c r="K69" s="1592"/>
    </row>
    <row r="70" spans="1:14" ht="15" customHeight="1" x14ac:dyDescent="0.25">
      <c r="A70" s="200"/>
      <c r="B70" s="200"/>
      <c r="C70" s="200"/>
      <c r="D70" s="200"/>
      <c r="E70" s="200"/>
      <c r="F70" s="200"/>
      <c r="G70" s="200"/>
      <c r="H70" s="200"/>
      <c r="I70" s="200"/>
      <c r="J70" s="200"/>
      <c r="K70" s="200"/>
    </row>
    <row r="71" spans="1:14" ht="15" customHeight="1" x14ac:dyDescent="0.25">
      <c r="A71" s="1592" t="s">
        <v>245</v>
      </c>
      <c r="B71" s="1592"/>
      <c r="C71" s="1592"/>
      <c r="D71" s="200"/>
      <c r="E71" s="200"/>
      <c r="F71" s="200"/>
      <c r="G71" s="200"/>
      <c r="H71" s="200"/>
      <c r="I71" s="200"/>
      <c r="J71" s="200"/>
      <c r="K71" s="200"/>
    </row>
    <row r="72" spans="1:14" ht="15" customHeight="1" x14ac:dyDescent="0.25">
      <c r="A72" s="200"/>
      <c r="B72" s="200"/>
      <c r="C72" s="200"/>
      <c r="D72" s="200"/>
      <c r="E72" s="200"/>
      <c r="F72" s="200"/>
      <c r="G72" s="200"/>
      <c r="H72" s="200"/>
      <c r="I72" s="200"/>
      <c r="J72" s="200"/>
      <c r="K72" s="200"/>
    </row>
    <row r="73" spans="1:14" ht="15" customHeight="1" x14ac:dyDescent="0.25">
      <c r="A73" s="200"/>
      <c r="B73" s="630" t="s">
        <v>1749</v>
      </c>
      <c r="C73" s="200"/>
      <c r="D73" s="200"/>
      <c r="E73" s="200"/>
      <c r="F73" s="200"/>
      <c r="G73" s="200"/>
      <c r="H73" s="200"/>
      <c r="I73" s="200"/>
      <c r="J73" s="200"/>
      <c r="K73" s="200"/>
    </row>
    <row r="74" spans="1:14" ht="18" customHeight="1" x14ac:dyDescent="0.25">
      <c r="A74" s="200"/>
      <c r="B74" s="200"/>
      <c r="C74" s="200"/>
      <c r="D74" s="200"/>
      <c r="E74" s="200"/>
      <c r="F74" s="200"/>
      <c r="G74" s="200"/>
      <c r="H74" s="200"/>
      <c r="I74" s="200"/>
      <c r="J74" s="200"/>
      <c r="K74" s="200"/>
    </row>
    <row r="75" spans="1:14" ht="18" customHeight="1" x14ac:dyDescent="0.25">
      <c r="A75" s="200"/>
      <c r="B75" s="1013" t="s">
        <v>1760</v>
      </c>
      <c r="C75" s="200"/>
      <c r="D75" s="200"/>
      <c r="E75" s="200"/>
      <c r="F75" s="200"/>
      <c r="G75" s="200"/>
      <c r="H75" s="200"/>
      <c r="I75" s="200"/>
      <c r="J75" s="200"/>
      <c r="K75" s="200"/>
    </row>
    <row r="76" spans="1:14" ht="18" customHeight="1" x14ac:dyDescent="0.25">
      <c r="A76" s="200"/>
      <c r="B76" s="1804" t="s">
        <v>1750</v>
      </c>
      <c r="C76" s="1804"/>
      <c r="D76" s="462" t="s">
        <v>1751</v>
      </c>
      <c r="E76" s="200"/>
      <c r="F76" s="200"/>
      <c r="G76" s="200"/>
      <c r="H76" s="200"/>
      <c r="I76" s="200"/>
      <c r="J76" s="200"/>
      <c r="K76" s="200"/>
      <c r="M76" s="38" t="s">
        <v>124</v>
      </c>
    </row>
    <row r="77" spans="1:14" ht="18" customHeight="1" x14ac:dyDescent="0.25">
      <c r="A77" s="200"/>
      <c r="B77" s="1794" t="s">
        <v>1752</v>
      </c>
      <c r="C77" s="1794"/>
      <c r="D77" s="944">
        <v>11</v>
      </c>
      <c r="E77" s="200"/>
      <c r="F77" s="200"/>
      <c r="G77" s="200"/>
      <c r="H77" s="200"/>
      <c r="I77" s="200"/>
      <c r="J77" s="200"/>
      <c r="K77" s="200"/>
      <c r="M77" s="38" t="str">
        <f>B77</f>
        <v>Office</v>
      </c>
      <c r="N77" s="38">
        <f>D77</f>
        <v>11</v>
      </c>
    </row>
    <row r="78" spans="1:14" ht="18" customHeight="1" x14ac:dyDescent="0.25">
      <c r="A78" s="200"/>
      <c r="B78" s="1794" t="s">
        <v>1753</v>
      </c>
      <c r="C78" s="1794"/>
      <c r="D78" s="944">
        <v>11</v>
      </c>
      <c r="E78" s="200"/>
      <c r="F78" s="200"/>
      <c r="G78" s="200"/>
      <c r="H78" s="200"/>
      <c r="I78" s="200"/>
      <c r="J78" s="200"/>
      <c r="K78" s="200"/>
      <c r="M78" s="38" t="str">
        <f t="shared" ref="M78:M84" si="0">B78</f>
        <v>Hotel</v>
      </c>
      <c r="N78" s="38">
        <f t="shared" ref="N78:N85" si="1">D78</f>
        <v>11</v>
      </c>
    </row>
    <row r="79" spans="1:14" ht="18" customHeight="1" x14ac:dyDescent="0.25">
      <c r="A79" s="200"/>
      <c r="B79" s="1794" t="s">
        <v>1754</v>
      </c>
      <c r="C79" s="1794"/>
      <c r="D79" s="944">
        <v>13</v>
      </c>
      <c r="E79" s="200"/>
      <c r="F79" s="200"/>
      <c r="G79" s="200"/>
      <c r="H79" s="200"/>
      <c r="I79" s="200"/>
      <c r="J79" s="200"/>
      <c r="K79" s="200"/>
      <c r="M79" s="38" t="str">
        <f t="shared" si="0"/>
        <v>Hospital</v>
      </c>
      <c r="N79" s="38">
        <f t="shared" si="1"/>
        <v>13</v>
      </c>
    </row>
    <row r="80" spans="1:14" ht="18" customHeight="1" x14ac:dyDescent="0.25">
      <c r="A80" s="200"/>
      <c r="B80" s="1794" t="s">
        <v>1651</v>
      </c>
      <c r="C80" s="1794"/>
      <c r="D80" s="944">
        <v>13</v>
      </c>
      <c r="E80" s="200"/>
      <c r="F80" s="200"/>
      <c r="G80" s="200"/>
      <c r="H80" s="200"/>
      <c r="I80" s="200"/>
      <c r="J80" s="200"/>
      <c r="K80" s="200"/>
      <c r="M80" s="38" t="str">
        <f t="shared" si="0"/>
        <v>School</v>
      </c>
      <c r="N80" s="38">
        <f t="shared" si="1"/>
        <v>13</v>
      </c>
    </row>
    <row r="81" spans="1:16" ht="18" customHeight="1" x14ac:dyDescent="0.25">
      <c r="A81" s="200"/>
      <c r="B81" s="1794" t="s">
        <v>1755</v>
      </c>
      <c r="C81" s="1794"/>
      <c r="D81" s="944">
        <v>16</v>
      </c>
      <c r="E81" s="200"/>
      <c r="F81" s="200"/>
      <c r="G81" s="200"/>
      <c r="H81" s="200"/>
      <c r="I81" s="200"/>
      <c r="J81" s="200"/>
      <c r="K81" s="200"/>
      <c r="M81" s="38" t="str">
        <f t="shared" si="0"/>
        <v>Retail</v>
      </c>
      <c r="N81" s="38">
        <f t="shared" si="1"/>
        <v>16</v>
      </c>
    </row>
    <row r="82" spans="1:16" ht="18" customHeight="1" x14ac:dyDescent="0.25">
      <c r="A82" s="200"/>
      <c r="B82" s="1794" t="s">
        <v>1756</v>
      </c>
      <c r="C82" s="1794"/>
      <c r="D82" s="944">
        <v>8</v>
      </c>
      <c r="E82" s="200"/>
      <c r="F82" s="200"/>
      <c r="G82" s="200"/>
      <c r="H82" s="200"/>
      <c r="I82" s="200"/>
      <c r="J82" s="200"/>
      <c r="K82" s="200"/>
      <c r="M82" s="38" t="str">
        <f t="shared" si="0"/>
        <v>Residential</v>
      </c>
      <c r="N82" s="38">
        <f t="shared" si="1"/>
        <v>8</v>
      </c>
    </row>
    <row r="83" spans="1:16" ht="18" customHeight="1" x14ac:dyDescent="0.25">
      <c r="A83" s="200"/>
      <c r="B83" s="1794" t="s">
        <v>1757</v>
      </c>
      <c r="C83" s="1794"/>
      <c r="D83" s="944">
        <v>3</v>
      </c>
      <c r="E83" s="200"/>
      <c r="F83" s="200"/>
      <c r="G83" s="200"/>
      <c r="H83" s="200"/>
      <c r="I83" s="200"/>
      <c r="J83" s="200"/>
      <c r="K83" s="200"/>
      <c r="M83" s="38" t="str">
        <f t="shared" si="0"/>
        <v>Enclosed, in-house, basement car parks</v>
      </c>
      <c r="N83" s="38">
        <f t="shared" si="1"/>
        <v>3</v>
      </c>
    </row>
    <row r="84" spans="1:16" ht="18" customHeight="1" x14ac:dyDescent="0.25">
      <c r="A84" s="200"/>
      <c r="B84" s="1794" t="s">
        <v>1758</v>
      </c>
      <c r="C84" s="1794"/>
      <c r="D84" s="944">
        <v>1.6</v>
      </c>
      <c r="E84" s="200"/>
      <c r="F84" s="200"/>
      <c r="G84" s="200"/>
      <c r="H84" s="200"/>
      <c r="I84" s="200"/>
      <c r="J84" s="200"/>
      <c r="K84" s="200"/>
      <c r="M84" s="38" t="str">
        <f t="shared" si="0"/>
        <v xml:space="preserve">Outdoor or open (roofed only) car parks </v>
      </c>
      <c r="N84" s="38">
        <f t="shared" si="1"/>
        <v>1.6</v>
      </c>
    </row>
    <row r="85" spans="1:16" ht="18" customHeight="1" x14ac:dyDescent="0.25">
      <c r="A85" s="200"/>
      <c r="B85" s="1794" t="s">
        <v>1759</v>
      </c>
      <c r="C85" s="1794"/>
      <c r="D85" s="944">
        <v>13</v>
      </c>
      <c r="E85" s="200"/>
      <c r="F85" s="200"/>
      <c r="G85" s="200"/>
      <c r="H85" s="200"/>
      <c r="I85" s="200"/>
      <c r="J85" s="200"/>
      <c r="K85" s="200"/>
      <c r="M85" s="38" t="s">
        <v>1831</v>
      </c>
      <c r="N85" s="38">
        <f t="shared" si="1"/>
        <v>13</v>
      </c>
    </row>
    <row r="86" spans="1:16" ht="18" customHeight="1" x14ac:dyDescent="0.25">
      <c r="A86" s="200"/>
      <c r="B86" s="200"/>
      <c r="C86" s="200"/>
      <c r="D86" s="200"/>
      <c r="E86" s="200"/>
      <c r="F86" s="200"/>
      <c r="G86" s="200"/>
      <c r="H86" s="200"/>
      <c r="I86" s="200"/>
      <c r="J86" s="200"/>
      <c r="K86" s="200"/>
    </row>
    <row r="87" spans="1:16" ht="18" customHeight="1" x14ac:dyDescent="0.25">
      <c r="A87" s="200"/>
      <c r="B87" s="1114" t="s">
        <v>1127</v>
      </c>
      <c r="C87" s="1105"/>
      <c r="D87" s="1105"/>
      <c r="E87" s="1105"/>
      <c r="F87" s="1105"/>
      <c r="G87" s="1106"/>
      <c r="H87" s="200"/>
      <c r="I87" s="200"/>
      <c r="J87" s="200"/>
      <c r="K87" s="200"/>
    </row>
    <row r="88" spans="1:16" ht="18" customHeight="1" x14ac:dyDescent="0.25">
      <c r="A88" s="200"/>
      <c r="B88" s="1115" t="s">
        <v>1128</v>
      </c>
      <c r="C88" s="1107"/>
      <c r="D88" s="1107"/>
      <c r="E88" s="1107"/>
      <c r="F88" s="1107"/>
      <c r="G88" s="1108"/>
      <c r="H88" s="200"/>
      <c r="I88" s="200"/>
      <c r="J88" s="200"/>
      <c r="K88" s="200"/>
    </row>
    <row r="89" spans="1:16" ht="18" customHeight="1" x14ac:dyDescent="0.25">
      <c r="A89" s="200"/>
      <c r="B89" s="626"/>
      <c r="C89" s="200"/>
      <c r="D89" s="200"/>
      <c r="E89" s="200"/>
      <c r="F89" s="200"/>
      <c r="G89" s="200"/>
      <c r="H89" s="200"/>
      <c r="I89" s="200"/>
      <c r="J89" s="200"/>
      <c r="K89" s="200"/>
    </row>
    <row r="90" spans="1:16" ht="16.5" customHeight="1" x14ac:dyDescent="0.25">
      <c r="A90" s="1592" t="s">
        <v>23</v>
      </c>
      <c r="B90" s="1592"/>
      <c r="C90" s="1592"/>
      <c r="D90" s="200"/>
      <c r="E90" s="200"/>
      <c r="F90" s="200"/>
      <c r="G90" s="200"/>
      <c r="H90" s="200"/>
      <c r="I90" s="200"/>
      <c r="J90" s="200"/>
      <c r="K90" s="200"/>
    </row>
    <row r="91" spans="1:16" ht="12" customHeight="1" x14ac:dyDescent="0.25">
      <c r="A91" s="200"/>
      <c r="B91" s="200"/>
      <c r="C91" s="200"/>
      <c r="D91" s="200"/>
      <c r="E91" s="200"/>
      <c r="F91" s="200"/>
      <c r="G91" s="200"/>
      <c r="H91" s="200"/>
      <c r="I91" s="200"/>
      <c r="J91" s="200"/>
      <c r="K91" s="200"/>
    </row>
    <row r="92" spans="1:16" ht="29.25" customHeight="1" x14ac:dyDescent="0.25">
      <c r="A92" s="200"/>
      <c r="B92" s="1805" t="s">
        <v>1834</v>
      </c>
      <c r="C92" s="1805"/>
      <c r="D92" s="1805"/>
      <c r="E92" s="1805"/>
      <c r="F92" s="1805"/>
      <c r="G92" s="1805"/>
      <c r="H92" s="1805"/>
      <c r="I92" s="1805"/>
      <c r="J92" s="200"/>
      <c r="K92" s="200"/>
    </row>
    <row r="93" spans="1:16" x14ac:dyDescent="0.25">
      <c r="A93" s="200"/>
      <c r="B93" s="206"/>
      <c r="C93" s="200"/>
      <c r="D93" s="884"/>
      <c r="E93" s="200"/>
      <c r="F93" s="191"/>
      <c r="G93" s="191"/>
      <c r="H93" s="191"/>
      <c r="I93" s="200"/>
      <c r="J93" s="200"/>
      <c r="K93" s="200"/>
    </row>
    <row r="94" spans="1:16" x14ac:dyDescent="0.25">
      <c r="A94" s="200"/>
      <c r="B94" s="206"/>
      <c r="C94" s="200"/>
      <c r="D94" s="940" t="s">
        <v>1826</v>
      </c>
      <c r="E94" s="940" t="s">
        <v>1827</v>
      </c>
      <c r="F94" s="940" t="s">
        <v>1828</v>
      </c>
      <c r="G94" s="940" t="s">
        <v>1829</v>
      </c>
      <c r="H94" s="940" t="s">
        <v>1830</v>
      </c>
      <c r="I94" s="200"/>
      <c r="J94" s="200"/>
      <c r="K94" s="200"/>
    </row>
    <row r="95" spans="1:16" ht="18" customHeight="1" x14ac:dyDescent="0.25">
      <c r="A95" s="200"/>
      <c r="B95" s="1797" t="s">
        <v>1825</v>
      </c>
      <c r="C95" s="1797"/>
      <c r="D95" s="817" t="s">
        <v>124</v>
      </c>
      <c r="E95" s="817" t="s">
        <v>124</v>
      </c>
      <c r="F95" s="817" t="s">
        <v>124</v>
      </c>
      <c r="G95" s="817" t="s">
        <v>124</v>
      </c>
      <c r="H95" s="817" t="s">
        <v>124</v>
      </c>
      <c r="I95" s="200"/>
      <c r="J95" s="200"/>
      <c r="K95" s="200"/>
      <c r="L95" s="38">
        <f>IFERROR(VLOOKUP(D95,$M$76:$N$85,2,FALSE),0)</f>
        <v>0</v>
      </c>
      <c r="M95" s="38">
        <f t="shared" ref="M95:P95" si="2">IFERROR(VLOOKUP(E95,$M$76:$N$85,2,FALSE),0)</f>
        <v>0</v>
      </c>
      <c r="N95" s="38">
        <f t="shared" si="2"/>
        <v>0</v>
      </c>
      <c r="O95" s="38">
        <f t="shared" si="2"/>
        <v>0</v>
      </c>
      <c r="P95" s="38">
        <f t="shared" si="2"/>
        <v>0</v>
      </c>
    </row>
    <row r="96" spans="1:16" ht="18" customHeight="1" x14ac:dyDescent="0.25">
      <c r="A96" s="200"/>
      <c r="B96" s="1795" t="s">
        <v>24</v>
      </c>
      <c r="C96" s="1796"/>
      <c r="D96" s="817"/>
      <c r="E96" s="817"/>
      <c r="F96" s="817"/>
      <c r="G96" s="817"/>
      <c r="H96" s="817"/>
      <c r="I96" s="200"/>
      <c r="J96" s="200"/>
      <c r="K96" s="200"/>
    </row>
    <row r="97" spans="1:12" ht="18.75" customHeight="1" x14ac:dyDescent="0.25">
      <c r="A97" s="200"/>
      <c r="B97" s="200"/>
      <c r="C97" s="200"/>
      <c r="D97" s="200"/>
      <c r="E97" s="200"/>
      <c r="F97" s="200"/>
      <c r="G97" s="200"/>
      <c r="H97" s="200"/>
      <c r="I97" s="200"/>
      <c r="J97" s="200"/>
      <c r="K97" s="200"/>
    </row>
    <row r="98" spans="1:12" x14ac:dyDescent="0.25">
      <c r="A98" s="200"/>
      <c r="B98" s="1032" t="s">
        <v>1835</v>
      </c>
      <c r="C98" s="200"/>
      <c r="D98" s="200"/>
      <c r="E98" s="200"/>
      <c r="F98" s="200"/>
      <c r="G98" s="200"/>
      <c r="H98" s="200"/>
      <c r="I98" s="200"/>
      <c r="J98" s="200"/>
      <c r="K98" s="200"/>
    </row>
    <row r="99" spans="1:12" x14ac:dyDescent="0.25">
      <c r="A99" s="200"/>
      <c r="B99" s="200"/>
      <c r="C99" s="200"/>
      <c r="D99" s="200"/>
      <c r="E99" s="200"/>
      <c r="F99" s="200"/>
      <c r="G99" s="200"/>
      <c r="H99" s="200"/>
      <c r="I99" s="200"/>
      <c r="J99" s="200"/>
      <c r="K99" s="200"/>
    </row>
    <row r="100" spans="1:12" ht="18" customHeight="1" x14ac:dyDescent="0.25">
      <c r="A100" s="200"/>
      <c r="B100" s="91" t="s">
        <v>241</v>
      </c>
      <c r="C100" s="91" t="s">
        <v>25</v>
      </c>
      <c r="D100" s="91" t="s">
        <v>26</v>
      </c>
      <c r="E100" s="91" t="s">
        <v>27</v>
      </c>
      <c r="F100" s="178" t="s">
        <v>28</v>
      </c>
      <c r="G100" s="91" t="s">
        <v>29</v>
      </c>
      <c r="H100" s="200"/>
      <c r="I100" s="200"/>
      <c r="J100" s="200"/>
      <c r="K100" s="200"/>
      <c r="L100" s="49"/>
    </row>
    <row r="101" spans="1:12" x14ac:dyDescent="0.25">
      <c r="A101" s="200"/>
      <c r="B101" s="879"/>
      <c r="C101" s="166"/>
      <c r="D101" s="166"/>
      <c r="E101" s="166"/>
      <c r="F101" s="166"/>
      <c r="G101" s="63">
        <f>IFERROR(D101*E101+F101,"")</f>
        <v>0</v>
      </c>
      <c r="H101" s="200"/>
      <c r="I101" s="200"/>
      <c r="J101" s="200"/>
      <c r="K101" s="200"/>
      <c r="L101" s="49"/>
    </row>
    <row r="102" spans="1:12" x14ac:dyDescent="0.25">
      <c r="A102" s="200"/>
      <c r="B102" s="879"/>
      <c r="C102" s="166"/>
      <c r="D102" s="166"/>
      <c r="E102" s="166"/>
      <c r="F102" s="166"/>
      <c r="G102" s="63">
        <f t="shared" ref="G102:G115" si="3">IFERROR(D102*E102+F102,"")</f>
        <v>0</v>
      </c>
      <c r="H102" s="200"/>
      <c r="I102" s="200"/>
      <c r="J102" s="200"/>
      <c r="K102" s="200"/>
      <c r="L102" s="49"/>
    </row>
    <row r="103" spans="1:12" x14ac:dyDescent="0.25">
      <c r="A103" s="200"/>
      <c r="B103" s="879"/>
      <c r="C103" s="166"/>
      <c r="D103" s="166"/>
      <c r="E103" s="166"/>
      <c r="F103" s="166"/>
      <c r="G103" s="63">
        <f t="shared" si="3"/>
        <v>0</v>
      </c>
      <c r="H103" s="200"/>
      <c r="I103" s="200"/>
      <c r="J103" s="200"/>
      <c r="K103" s="200"/>
      <c r="L103" s="49"/>
    </row>
    <row r="104" spans="1:12" x14ac:dyDescent="0.25">
      <c r="A104" s="200"/>
      <c r="B104" s="879"/>
      <c r="C104" s="166"/>
      <c r="D104" s="166"/>
      <c r="E104" s="166"/>
      <c r="F104" s="166"/>
      <c r="G104" s="63">
        <f t="shared" si="3"/>
        <v>0</v>
      </c>
      <c r="H104" s="200"/>
      <c r="I104" s="200"/>
      <c r="J104" s="200"/>
      <c r="K104" s="200"/>
      <c r="L104" s="49"/>
    </row>
    <row r="105" spans="1:12" x14ac:dyDescent="0.25">
      <c r="A105" s="200"/>
      <c r="B105" s="879"/>
      <c r="C105" s="166"/>
      <c r="D105" s="166"/>
      <c r="E105" s="166"/>
      <c r="F105" s="166"/>
      <c r="G105" s="63">
        <f t="shared" si="3"/>
        <v>0</v>
      </c>
      <c r="H105" s="200"/>
      <c r="I105" s="200"/>
      <c r="J105" s="200"/>
      <c r="K105" s="200"/>
      <c r="L105" s="49"/>
    </row>
    <row r="106" spans="1:12" x14ac:dyDescent="0.25">
      <c r="A106" s="200"/>
      <c r="B106" s="879"/>
      <c r="C106" s="166"/>
      <c r="D106" s="166"/>
      <c r="E106" s="166"/>
      <c r="F106" s="166"/>
      <c r="G106" s="63">
        <f t="shared" si="3"/>
        <v>0</v>
      </c>
      <c r="H106" s="200"/>
      <c r="I106" s="200"/>
      <c r="J106" s="200"/>
      <c r="K106" s="200"/>
      <c r="L106" s="49"/>
    </row>
    <row r="107" spans="1:12" x14ac:dyDescent="0.25">
      <c r="A107" s="200"/>
      <c r="B107" s="879"/>
      <c r="C107" s="166"/>
      <c r="D107" s="166"/>
      <c r="E107" s="166"/>
      <c r="F107" s="166"/>
      <c r="G107" s="63">
        <f t="shared" si="3"/>
        <v>0</v>
      </c>
      <c r="H107" s="200"/>
      <c r="I107" s="200"/>
      <c r="J107" s="200"/>
      <c r="K107" s="200"/>
      <c r="L107" s="49"/>
    </row>
    <row r="108" spans="1:12" x14ac:dyDescent="0.25">
      <c r="A108" s="200"/>
      <c r="B108" s="879"/>
      <c r="C108" s="166"/>
      <c r="D108" s="166"/>
      <c r="E108" s="166"/>
      <c r="F108" s="166"/>
      <c r="G108" s="63">
        <f t="shared" si="3"/>
        <v>0</v>
      </c>
      <c r="H108" s="200"/>
      <c r="I108" s="200"/>
      <c r="J108" s="200"/>
      <c r="K108" s="200"/>
      <c r="L108" s="49"/>
    </row>
    <row r="109" spans="1:12" x14ac:dyDescent="0.25">
      <c r="A109" s="200"/>
      <c r="B109" s="879"/>
      <c r="C109" s="166"/>
      <c r="D109" s="166"/>
      <c r="E109" s="166"/>
      <c r="F109" s="166"/>
      <c r="G109" s="63">
        <f t="shared" si="3"/>
        <v>0</v>
      </c>
      <c r="H109" s="200"/>
      <c r="I109" s="200"/>
      <c r="J109" s="200"/>
      <c r="K109" s="200"/>
      <c r="L109" s="49"/>
    </row>
    <row r="110" spans="1:12" x14ac:dyDescent="0.25">
      <c r="A110" s="200"/>
      <c r="B110" s="879"/>
      <c r="C110" s="166"/>
      <c r="D110" s="166"/>
      <c r="E110" s="166"/>
      <c r="F110" s="166"/>
      <c r="G110" s="63">
        <f t="shared" si="3"/>
        <v>0</v>
      </c>
      <c r="H110" s="200"/>
      <c r="I110" s="200"/>
      <c r="J110" s="200"/>
      <c r="K110" s="200"/>
      <c r="L110" s="49"/>
    </row>
    <row r="111" spans="1:12" x14ac:dyDescent="0.25">
      <c r="A111" s="200"/>
      <c r="B111" s="879"/>
      <c r="C111" s="166"/>
      <c r="D111" s="166"/>
      <c r="E111" s="166"/>
      <c r="F111" s="166"/>
      <c r="G111" s="63">
        <f t="shared" si="3"/>
        <v>0</v>
      </c>
      <c r="H111" s="200"/>
      <c r="I111" s="200"/>
      <c r="J111" s="200"/>
      <c r="K111" s="200"/>
      <c r="L111" s="49"/>
    </row>
    <row r="112" spans="1:12" x14ac:dyDescent="0.25">
      <c r="A112" s="200"/>
      <c r="B112" s="879"/>
      <c r="C112" s="166"/>
      <c r="D112" s="166"/>
      <c r="E112" s="166"/>
      <c r="F112" s="166"/>
      <c r="G112" s="63">
        <f t="shared" si="3"/>
        <v>0</v>
      </c>
      <c r="H112" s="200"/>
      <c r="I112" s="200"/>
      <c r="J112" s="200"/>
      <c r="K112" s="200"/>
      <c r="L112" s="49"/>
    </row>
    <row r="113" spans="1:12" x14ac:dyDescent="0.25">
      <c r="A113" s="200"/>
      <c r="B113" s="879"/>
      <c r="C113" s="166"/>
      <c r="D113" s="166"/>
      <c r="E113" s="166"/>
      <c r="F113" s="166"/>
      <c r="G113" s="63">
        <f t="shared" si="3"/>
        <v>0</v>
      </c>
      <c r="H113" s="200"/>
      <c r="I113" s="200"/>
      <c r="J113" s="200"/>
      <c r="K113" s="200"/>
      <c r="L113" s="49"/>
    </row>
    <row r="114" spans="1:12" x14ac:dyDescent="0.25">
      <c r="A114" s="200"/>
      <c r="B114" s="879"/>
      <c r="C114" s="166"/>
      <c r="D114" s="166"/>
      <c r="E114" s="166"/>
      <c r="F114" s="166"/>
      <c r="G114" s="63">
        <f t="shared" si="3"/>
        <v>0</v>
      </c>
      <c r="H114" s="200"/>
      <c r="I114" s="200"/>
      <c r="J114" s="200"/>
      <c r="K114" s="200"/>
      <c r="L114" s="49"/>
    </row>
    <row r="115" spans="1:12" x14ac:dyDescent="0.25">
      <c r="A115" s="200"/>
      <c r="B115" s="879"/>
      <c r="C115" s="166"/>
      <c r="D115" s="166"/>
      <c r="E115" s="166"/>
      <c r="F115" s="166"/>
      <c r="G115" s="63">
        <f t="shared" si="3"/>
        <v>0</v>
      </c>
      <c r="H115" s="200"/>
      <c r="I115" s="200"/>
      <c r="J115" s="200"/>
      <c r="K115" s="200"/>
      <c r="L115" s="49"/>
    </row>
    <row r="116" spans="1:12" x14ac:dyDescent="0.25">
      <c r="A116" s="200"/>
      <c r="B116" s="200"/>
      <c r="C116" s="200"/>
      <c r="D116" s="200"/>
      <c r="E116" s="200"/>
      <c r="F116" s="200"/>
      <c r="G116" s="200"/>
      <c r="H116" s="200"/>
      <c r="I116" s="200"/>
      <c r="J116" s="200"/>
      <c r="K116" s="200"/>
      <c r="L116" s="49"/>
    </row>
    <row r="117" spans="1:12" ht="18.75" customHeight="1" x14ac:dyDescent="0.25">
      <c r="A117" s="200"/>
      <c r="B117" s="1623" t="s">
        <v>502</v>
      </c>
      <c r="C117" s="1623"/>
      <c r="D117" s="1623"/>
      <c r="E117" s="208" t="str">
        <f>IFERROR(SUM(G101:G115)/D96,"")</f>
        <v/>
      </c>
      <c r="F117" s="200"/>
      <c r="G117" s="200"/>
      <c r="H117" s="200"/>
      <c r="I117" s="200"/>
      <c r="J117" s="200"/>
      <c r="K117" s="200"/>
    </row>
    <row r="118" spans="1:12" ht="18.75" customHeight="1" x14ac:dyDescent="0.25">
      <c r="A118" s="200"/>
      <c r="B118" s="1623" t="s">
        <v>1832</v>
      </c>
      <c r="C118" s="1623"/>
      <c r="D118" s="1623"/>
      <c r="E118" s="208" t="str">
        <f>IFERROR(SUMPRODUCT(L95:P95,D96:H96)/SUM(D96:H96),"")</f>
        <v/>
      </c>
      <c r="F118" s="200"/>
      <c r="G118" s="200"/>
      <c r="H118" s="200"/>
      <c r="I118" s="200"/>
      <c r="J118" s="200"/>
      <c r="K118" s="200"/>
    </row>
    <row r="119" spans="1:12" ht="18.75" customHeight="1" x14ac:dyDescent="0.25">
      <c r="A119" s="200"/>
      <c r="B119" s="1623" t="s">
        <v>1833</v>
      </c>
      <c r="C119" s="1623"/>
      <c r="D119" s="1623"/>
      <c r="E119" s="1031" t="str">
        <f>IFERROR(1-E117/E118,"")</f>
        <v/>
      </c>
      <c r="F119" s="200"/>
      <c r="G119" s="200"/>
      <c r="H119" s="200"/>
      <c r="I119" s="200"/>
      <c r="J119" s="200"/>
      <c r="K119" s="200"/>
    </row>
    <row r="120" spans="1:12" ht="19.5" customHeight="1" x14ac:dyDescent="0.25">
      <c r="A120" s="200"/>
      <c r="B120" s="200"/>
      <c r="C120" s="200"/>
      <c r="D120" s="200"/>
      <c r="E120" s="200"/>
      <c r="F120" s="200"/>
      <c r="G120" s="200"/>
      <c r="H120" s="200"/>
      <c r="I120" s="200"/>
      <c r="J120" s="200"/>
      <c r="K120" s="200"/>
    </row>
    <row r="121" spans="1:12" ht="16.5" customHeight="1" x14ac:dyDescent="0.25">
      <c r="A121" s="1592" t="s">
        <v>186</v>
      </c>
      <c r="B121" s="1592"/>
      <c r="C121" s="1592"/>
      <c r="D121" s="200"/>
      <c r="E121" s="200"/>
      <c r="F121" s="200"/>
      <c r="G121" s="200"/>
      <c r="H121" s="200"/>
      <c r="I121" s="200"/>
      <c r="J121" s="200"/>
      <c r="K121" s="200"/>
    </row>
    <row r="122" spans="1:12" ht="16.5" customHeight="1" x14ac:dyDescent="0.25">
      <c r="A122" s="200"/>
      <c r="B122" s="200"/>
      <c r="C122" s="200"/>
      <c r="D122" s="200"/>
      <c r="E122" s="200"/>
      <c r="F122" s="200"/>
      <c r="G122" s="200"/>
      <c r="H122" s="200"/>
      <c r="I122" s="200"/>
      <c r="J122" s="200"/>
      <c r="K122" s="200"/>
    </row>
    <row r="123" spans="1:12" ht="18" customHeight="1" x14ac:dyDescent="0.25">
      <c r="A123" s="191"/>
      <c r="B123" s="1582" t="s">
        <v>1739</v>
      </c>
      <c r="C123" s="1583"/>
      <c r="D123" s="1583"/>
      <c r="E123" s="1583"/>
      <c r="F123" s="1583"/>
      <c r="G123" s="934" t="s">
        <v>1737</v>
      </c>
      <c r="H123" s="1589" t="s">
        <v>1738</v>
      </c>
      <c r="I123" s="1590"/>
      <c r="J123" s="200"/>
      <c r="K123" s="200"/>
    </row>
    <row r="124" spans="1:12" ht="24" customHeight="1" x14ac:dyDescent="0.25">
      <c r="A124" s="191"/>
      <c r="B124" s="1576" t="s">
        <v>1063</v>
      </c>
      <c r="C124" s="1577"/>
      <c r="D124" s="1577"/>
      <c r="E124" s="1577"/>
      <c r="F124" s="1578"/>
      <c r="G124" s="565" t="s">
        <v>124</v>
      </c>
      <c r="H124" s="1587"/>
      <c r="I124" s="1588"/>
      <c r="J124" s="200"/>
      <c r="K124" s="200"/>
    </row>
    <row r="125" spans="1:12" ht="24" customHeight="1" x14ac:dyDescent="0.25">
      <c r="A125" s="191"/>
      <c r="B125" s="1576" t="s">
        <v>1064</v>
      </c>
      <c r="C125" s="1577"/>
      <c r="D125" s="1577"/>
      <c r="E125" s="1577"/>
      <c r="F125" s="1578"/>
      <c r="G125" s="565" t="s">
        <v>124</v>
      </c>
      <c r="H125" s="1587"/>
      <c r="I125" s="1588"/>
      <c r="J125" s="200"/>
      <c r="K125" s="200"/>
    </row>
    <row r="126" spans="1:12" ht="18" customHeight="1" x14ac:dyDescent="0.25">
      <c r="A126" s="200"/>
      <c r="B126" s="200"/>
      <c r="C126" s="200"/>
      <c r="D126" s="200"/>
      <c r="E126" s="200"/>
      <c r="F126" s="200"/>
      <c r="G126" s="200"/>
      <c r="H126" s="200"/>
      <c r="I126" s="200"/>
      <c r="J126" s="200"/>
      <c r="K126" s="200"/>
    </row>
    <row r="127" spans="1:12" ht="16.5" customHeight="1" x14ac:dyDescent="0.25">
      <c r="A127" s="1592" t="s">
        <v>22</v>
      </c>
      <c r="B127" s="1592"/>
      <c r="C127" s="1592"/>
      <c r="D127" s="200"/>
      <c r="E127" s="200"/>
      <c r="F127" s="200"/>
      <c r="G127" s="200"/>
      <c r="H127" s="200"/>
      <c r="I127" s="200"/>
      <c r="J127" s="200"/>
      <c r="K127" s="200"/>
    </row>
    <row r="128" spans="1:12" ht="17.25" customHeight="1" x14ac:dyDescent="0.25">
      <c r="A128" s="200"/>
      <c r="B128" s="200"/>
      <c r="C128" s="200"/>
      <c r="D128" s="200"/>
      <c r="E128" s="200"/>
      <c r="F128" s="200"/>
      <c r="G128" s="200"/>
      <c r="H128" s="200"/>
      <c r="I128" s="200"/>
      <c r="J128" s="200"/>
      <c r="K128" s="200"/>
    </row>
    <row r="129" spans="1:11" ht="18" customHeight="1" x14ac:dyDescent="0.25">
      <c r="A129" s="200"/>
      <c r="B129" s="205" t="s">
        <v>53</v>
      </c>
      <c r="C129" s="1328" t="str">
        <f>IF(D23="Performance Path",IF(E119&gt;=0.3,3,IF(E119&gt;=0.15,2,IF(E119&gt;=0,1,0))),"")</f>
        <v/>
      </c>
      <c r="D129" s="200"/>
      <c r="E129" s="200"/>
      <c r="F129" s="200"/>
      <c r="G129" s="200"/>
      <c r="H129" s="200"/>
      <c r="I129" s="200"/>
      <c r="J129" s="200"/>
      <c r="K129" s="200"/>
    </row>
    <row r="130" spans="1:11" ht="18" customHeight="1" x14ac:dyDescent="0.25">
      <c r="A130" s="200"/>
      <c r="B130" s="205" t="s">
        <v>492</v>
      </c>
      <c r="C130" s="1328" t="str">
        <f>IF(D23="Performance Path",IF(AND(G124="Submitted",G125="Submitted",C129&gt;0),"Yes","No"),"")</f>
        <v/>
      </c>
      <c r="D130" s="200"/>
      <c r="E130" s="200"/>
      <c r="F130" s="200"/>
      <c r="G130" s="200"/>
      <c r="H130" s="200"/>
      <c r="I130" s="200"/>
      <c r="J130" s="200"/>
      <c r="K130" s="200"/>
    </row>
    <row r="131" spans="1:11" ht="18.75" customHeight="1" x14ac:dyDescent="0.25">
      <c r="A131" s="200"/>
      <c r="B131" s="200"/>
      <c r="C131" s="200"/>
      <c r="D131" s="200"/>
      <c r="E131" s="200"/>
      <c r="F131" s="200"/>
      <c r="G131" s="200"/>
      <c r="H131" s="200"/>
      <c r="I131" s="200"/>
      <c r="J131" s="200"/>
      <c r="K131" s="200"/>
    </row>
    <row r="132" spans="1:11" ht="18" customHeight="1" x14ac:dyDescent="0.25">
      <c r="A132" s="1591" t="s">
        <v>2252</v>
      </c>
      <c r="B132" s="1591"/>
      <c r="C132" s="1591"/>
      <c r="D132" s="1591"/>
      <c r="E132" s="1591"/>
      <c r="F132" s="1591"/>
      <c r="G132" s="1591"/>
      <c r="H132" s="1591"/>
      <c r="I132" s="1591"/>
      <c r="J132" s="1591"/>
      <c r="K132" s="1591"/>
    </row>
    <row r="133" spans="1:11" ht="15" customHeight="1" x14ac:dyDescent="0.25">
      <c r="A133" s="50"/>
      <c r="B133" s="50"/>
      <c r="C133" s="50"/>
      <c r="D133" s="50"/>
      <c r="E133" s="50"/>
      <c r="F133" s="50"/>
      <c r="G133" s="50"/>
      <c r="H133" s="50"/>
      <c r="I133" s="50"/>
      <c r="J133" s="50"/>
      <c r="K133" s="50"/>
    </row>
    <row r="134" spans="1:11" ht="16.5" customHeight="1" x14ac:dyDescent="0.25">
      <c r="A134" s="1592" t="s">
        <v>245</v>
      </c>
      <c r="B134" s="1592"/>
      <c r="C134" s="1592"/>
      <c r="D134" s="50"/>
      <c r="E134" s="50"/>
      <c r="F134" s="50"/>
      <c r="G134" s="50"/>
      <c r="H134" s="50"/>
      <c r="I134" s="50"/>
      <c r="J134" s="50"/>
      <c r="K134" s="50"/>
    </row>
    <row r="135" spans="1:11" ht="12" customHeight="1" x14ac:dyDescent="0.25">
      <c r="A135" s="50"/>
      <c r="B135" s="50"/>
      <c r="C135" s="50"/>
      <c r="D135" s="50"/>
      <c r="E135" s="50"/>
      <c r="F135" s="50"/>
      <c r="G135" s="50"/>
      <c r="H135" s="50"/>
      <c r="I135" s="50"/>
      <c r="J135" s="50"/>
      <c r="K135" s="50"/>
    </row>
    <row r="136" spans="1:11" x14ac:dyDescent="0.25">
      <c r="A136" s="50"/>
      <c r="B136" s="185" t="s">
        <v>2367</v>
      </c>
      <c r="C136" s="50"/>
      <c r="D136" s="50"/>
      <c r="E136" s="50"/>
      <c r="F136" s="50"/>
      <c r="G136" s="50"/>
      <c r="H136" s="50"/>
      <c r="I136" s="50"/>
      <c r="J136" s="50"/>
      <c r="K136" s="50"/>
    </row>
    <row r="137" spans="1:11" ht="12" customHeight="1" x14ac:dyDescent="0.25">
      <c r="A137" s="50"/>
      <c r="B137" s="50"/>
      <c r="C137" s="50"/>
      <c r="D137" s="50"/>
      <c r="E137" s="50"/>
      <c r="F137" s="50"/>
      <c r="G137" s="50"/>
      <c r="H137" s="50"/>
      <c r="I137" s="50"/>
      <c r="J137" s="50"/>
      <c r="K137" s="50"/>
    </row>
    <row r="138" spans="1:11" x14ac:dyDescent="0.25">
      <c r="A138" s="50"/>
      <c r="B138" s="1788" t="s">
        <v>2368</v>
      </c>
      <c r="C138" s="1789"/>
      <c r="D138" s="1789"/>
      <c r="E138" s="1789"/>
      <c r="F138" s="1789"/>
      <c r="G138" s="1789"/>
      <c r="H138" s="1789"/>
      <c r="I138" s="1790"/>
      <c r="J138" s="50"/>
      <c r="K138" s="50"/>
    </row>
    <row r="139" spans="1:11" x14ac:dyDescent="0.25">
      <c r="A139" s="50"/>
      <c r="B139" s="1779" t="s">
        <v>2253</v>
      </c>
      <c r="C139" s="1780"/>
      <c r="D139" s="1780"/>
      <c r="E139" s="1780"/>
      <c r="F139" s="1780"/>
      <c r="G139" s="1780"/>
      <c r="H139" s="1780"/>
      <c r="I139" s="1781"/>
      <c r="J139" s="50"/>
      <c r="K139" s="50"/>
    </row>
    <row r="140" spans="1:11" x14ac:dyDescent="0.25">
      <c r="A140" s="50"/>
      <c r="B140" s="1779" t="s">
        <v>2371</v>
      </c>
      <c r="C140" s="1780"/>
      <c r="D140" s="1780"/>
      <c r="E140" s="1780"/>
      <c r="F140" s="1780"/>
      <c r="G140" s="1780"/>
      <c r="H140" s="1780"/>
      <c r="I140" s="1781"/>
      <c r="J140" s="50"/>
      <c r="K140" s="50"/>
    </row>
    <row r="141" spans="1:11" x14ac:dyDescent="0.25">
      <c r="A141" s="50"/>
      <c r="B141" s="1782" t="s">
        <v>2377</v>
      </c>
      <c r="C141" s="1783"/>
      <c r="D141" s="1783"/>
      <c r="E141" s="1783"/>
      <c r="F141" s="1783"/>
      <c r="G141" s="1783"/>
      <c r="H141" s="1783"/>
      <c r="I141" s="1784"/>
      <c r="J141" s="50"/>
      <c r="K141" s="50"/>
    </row>
    <row r="142" spans="1:11" x14ac:dyDescent="0.25">
      <c r="A142" s="50"/>
      <c r="B142" s="1782" t="s">
        <v>2370</v>
      </c>
      <c r="C142" s="1783"/>
      <c r="D142" s="1783"/>
      <c r="E142" s="1783"/>
      <c r="F142" s="1783"/>
      <c r="G142" s="1783"/>
      <c r="H142" s="1783"/>
      <c r="I142" s="1784"/>
      <c r="J142" s="50"/>
      <c r="K142" s="50"/>
    </row>
    <row r="143" spans="1:11" x14ac:dyDescent="0.25">
      <c r="A143" s="50"/>
      <c r="B143" s="1782" t="s">
        <v>2372</v>
      </c>
      <c r="C143" s="1783"/>
      <c r="D143" s="1783"/>
      <c r="E143" s="1783"/>
      <c r="F143" s="1783"/>
      <c r="G143" s="1783"/>
      <c r="H143" s="1783"/>
      <c r="I143" s="1784"/>
      <c r="J143" s="50"/>
      <c r="K143" s="50"/>
    </row>
    <row r="144" spans="1:11" ht="27" customHeight="1" x14ac:dyDescent="0.25">
      <c r="A144" s="50"/>
      <c r="B144" s="1785" t="s">
        <v>2369</v>
      </c>
      <c r="C144" s="1786"/>
      <c r="D144" s="1786"/>
      <c r="E144" s="1786"/>
      <c r="F144" s="1786"/>
      <c r="G144" s="1786"/>
      <c r="H144" s="1786"/>
      <c r="I144" s="1787"/>
      <c r="J144" s="50"/>
      <c r="K144" s="50"/>
    </row>
    <row r="145" spans="1:13" x14ac:dyDescent="0.25">
      <c r="A145" s="50"/>
      <c r="B145" s="50"/>
      <c r="C145" s="50"/>
      <c r="D145" s="50"/>
      <c r="E145" s="50"/>
      <c r="F145" s="50"/>
      <c r="G145" s="50"/>
      <c r="H145" s="50"/>
      <c r="I145" s="50"/>
      <c r="J145" s="50"/>
      <c r="K145" s="50"/>
    </row>
    <row r="146" spans="1:13" x14ac:dyDescent="0.25">
      <c r="A146" s="50"/>
      <c r="B146" s="566" t="s">
        <v>2373</v>
      </c>
      <c r="C146" s="50"/>
      <c r="D146" s="50"/>
      <c r="E146" s="50"/>
      <c r="F146" s="50"/>
      <c r="G146" s="50"/>
      <c r="H146" s="50"/>
      <c r="I146" s="50"/>
      <c r="J146" s="50"/>
      <c r="K146" s="50"/>
    </row>
    <row r="147" spans="1:13" x14ac:dyDescent="0.25">
      <c r="A147" s="50"/>
      <c r="B147" s="50"/>
      <c r="C147" s="50"/>
      <c r="D147" s="50"/>
      <c r="E147" s="50"/>
      <c r="F147" s="50"/>
      <c r="G147" s="50"/>
      <c r="H147" s="50"/>
      <c r="I147" s="50"/>
      <c r="J147" s="50"/>
      <c r="K147" s="50"/>
    </row>
    <row r="148" spans="1:13" ht="15" customHeight="1" x14ac:dyDescent="0.25">
      <c r="A148" s="50"/>
      <c r="B148" s="1788" t="s">
        <v>2254</v>
      </c>
      <c r="C148" s="1789"/>
      <c r="D148" s="1789"/>
      <c r="E148" s="1789"/>
      <c r="F148" s="1789"/>
      <c r="G148" s="1789"/>
      <c r="H148" s="1789"/>
      <c r="I148" s="1790"/>
      <c r="J148" s="50"/>
      <c r="K148" s="50"/>
    </row>
    <row r="149" spans="1:13" ht="15" customHeight="1" x14ac:dyDescent="0.25">
      <c r="A149" s="50"/>
      <c r="B149" s="1779" t="s">
        <v>2255</v>
      </c>
      <c r="C149" s="1780"/>
      <c r="D149" s="1780"/>
      <c r="E149" s="1780"/>
      <c r="F149" s="1780"/>
      <c r="G149" s="1780"/>
      <c r="H149" s="1780"/>
      <c r="I149" s="1781"/>
      <c r="J149" s="50"/>
      <c r="K149" s="50"/>
    </row>
    <row r="150" spans="1:13" ht="27" customHeight="1" x14ac:dyDescent="0.25">
      <c r="A150" s="50"/>
      <c r="B150" s="1776" t="s">
        <v>2256</v>
      </c>
      <c r="C150" s="1777"/>
      <c r="D150" s="1777"/>
      <c r="E150" s="1777"/>
      <c r="F150" s="1777"/>
      <c r="G150" s="1777"/>
      <c r="H150" s="1777"/>
      <c r="I150" s="1778"/>
      <c r="J150" s="50"/>
      <c r="K150" s="50"/>
    </row>
    <row r="151" spans="1:13" x14ac:dyDescent="0.25">
      <c r="A151" s="50"/>
      <c r="B151" s="50"/>
      <c r="C151" s="50"/>
      <c r="D151" s="50"/>
      <c r="E151" s="50"/>
      <c r="F151" s="50"/>
      <c r="G151" s="50"/>
      <c r="H151" s="50"/>
      <c r="I151" s="50"/>
      <c r="J151" s="50"/>
      <c r="K151" s="50"/>
    </row>
    <row r="152" spans="1:13" x14ac:dyDescent="0.25">
      <c r="A152" s="50"/>
      <c r="B152" s="589" t="s">
        <v>2257</v>
      </c>
      <c r="C152" s="50"/>
      <c r="D152" s="50"/>
      <c r="E152" s="50"/>
      <c r="F152" s="50"/>
      <c r="G152" s="50"/>
      <c r="H152" s="50"/>
      <c r="I152" s="50"/>
      <c r="J152" s="50"/>
      <c r="K152" s="50"/>
    </row>
    <row r="153" spans="1:13" ht="12.75" customHeight="1" x14ac:dyDescent="0.25">
      <c r="A153" s="50"/>
      <c r="B153" s="185"/>
      <c r="C153" s="50"/>
      <c r="D153" s="50"/>
      <c r="E153" s="50"/>
      <c r="F153" s="50"/>
      <c r="G153" s="50"/>
      <c r="H153" s="50"/>
      <c r="I153" s="50"/>
      <c r="J153" s="50"/>
      <c r="K153" s="50"/>
    </row>
    <row r="154" spans="1:13" ht="25.5" x14ac:dyDescent="0.25">
      <c r="A154" s="50"/>
      <c r="B154" s="1167" t="s">
        <v>2258</v>
      </c>
      <c r="C154" s="1160" t="s">
        <v>2103</v>
      </c>
      <c r="D154" s="1160" t="s">
        <v>40</v>
      </c>
      <c r="E154" s="1163" t="s">
        <v>2259</v>
      </c>
      <c r="F154" s="1589" t="s">
        <v>2260</v>
      </c>
      <c r="G154" s="1589"/>
      <c r="H154" s="1163" t="s">
        <v>172</v>
      </c>
      <c r="I154" s="50"/>
      <c r="J154" s="50"/>
      <c r="K154" s="50"/>
    </row>
    <row r="155" spans="1:13" x14ac:dyDescent="0.25">
      <c r="A155" s="50"/>
      <c r="B155" s="1169"/>
      <c r="C155" s="1169" t="s">
        <v>124</v>
      </c>
      <c r="D155" s="1169"/>
      <c r="E155" s="1169"/>
      <c r="F155" s="1637" t="s">
        <v>124</v>
      </c>
      <c r="G155" s="1637"/>
      <c r="H155" s="1186" t="str">
        <f>IFERROR(IF(L155="","",IF(AND(L155="Yes",M155="Yes"),"Yes","No")),"")</f>
        <v/>
      </c>
      <c r="I155" s="50"/>
      <c r="J155" s="50"/>
      <c r="K155" s="50"/>
      <c r="L155" s="38" t="str">
        <f>IF(C155="Select","",IF(OR(C155="conference room",C155="passageway",C155="in-house parking lots"),IF(OR(F155="occupancy sensor",F155="vacancy sensor + manual switch"),"Yes","No"),IF(AND(F155&lt;&gt;"none",F155&lt;&gt;"Select"),"Yes","No")))</f>
        <v/>
      </c>
      <c r="M155" s="38" t="e">
        <f t="shared" ref="M155:M169" si="4">IF(AND(D155/E155&lt;=100,L155="Yes"),"Yes","No")</f>
        <v>#DIV/0!</v>
      </c>
    </row>
    <row r="156" spans="1:13" x14ac:dyDescent="0.25">
      <c r="A156" s="50"/>
      <c r="B156" s="1164"/>
      <c r="C156" s="1231" t="s">
        <v>124</v>
      </c>
      <c r="D156" s="1164"/>
      <c r="E156" s="1164"/>
      <c r="F156" s="1637" t="s">
        <v>124</v>
      </c>
      <c r="G156" s="1637"/>
      <c r="H156" s="1186" t="str">
        <f t="shared" ref="H156:H169" si="5">IFERROR(IF(L156="","",IF(AND(L156="Yes",M156="Yes"),"Yes","No")),"")</f>
        <v/>
      </c>
      <c r="I156" s="50"/>
      <c r="J156" s="50"/>
      <c r="K156" s="50"/>
      <c r="L156" s="38" t="str">
        <f t="shared" ref="L156:L169" si="6">IF(C156="Select","",IF(OR(C156="conference room",C156="passageway",C156="in-house parking lots"),IF(OR(F156="occupancy sensor",F156="vacancy sensor + manual switch"),"Yes","No"),IF(AND(F156&lt;&gt;"none",F156&lt;&gt;"Select"),"Yes","No")))</f>
        <v/>
      </c>
      <c r="M156" s="38" t="e">
        <f t="shared" si="4"/>
        <v>#DIV/0!</v>
      </c>
    </row>
    <row r="157" spans="1:13" x14ac:dyDescent="0.25">
      <c r="A157" s="50"/>
      <c r="B157" s="1164"/>
      <c r="C157" s="1231" t="s">
        <v>124</v>
      </c>
      <c r="D157" s="1164"/>
      <c r="E157" s="1164"/>
      <c r="F157" s="1637" t="s">
        <v>124</v>
      </c>
      <c r="G157" s="1637"/>
      <c r="H157" s="1186" t="str">
        <f t="shared" si="5"/>
        <v/>
      </c>
      <c r="I157" s="50"/>
      <c r="J157" s="50"/>
      <c r="K157" s="50"/>
      <c r="L157" s="38" t="str">
        <f t="shared" si="6"/>
        <v/>
      </c>
      <c r="M157" s="38" t="e">
        <f t="shared" si="4"/>
        <v>#DIV/0!</v>
      </c>
    </row>
    <row r="158" spans="1:13" x14ac:dyDescent="0.25">
      <c r="A158" s="50"/>
      <c r="B158" s="1164"/>
      <c r="C158" s="1231" t="s">
        <v>124</v>
      </c>
      <c r="D158" s="1164"/>
      <c r="E158" s="1164"/>
      <c r="F158" s="1637" t="s">
        <v>124</v>
      </c>
      <c r="G158" s="1637"/>
      <c r="H158" s="1186" t="str">
        <f t="shared" si="5"/>
        <v/>
      </c>
      <c r="I158" s="50"/>
      <c r="J158" s="50"/>
      <c r="K158" s="50"/>
      <c r="L158" s="38" t="str">
        <f t="shared" si="6"/>
        <v/>
      </c>
      <c r="M158" s="38" t="e">
        <f t="shared" si="4"/>
        <v>#DIV/0!</v>
      </c>
    </row>
    <row r="159" spans="1:13" x14ac:dyDescent="0.25">
      <c r="A159" s="50"/>
      <c r="B159" s="1164"/>
      <c r="C159" s="1231" t="s">
        <v>124</v>
      </c>
      <c r="D159" s="1164"/>
      <c r="E159" s="1164"/>
      <c r="F159" s="1637" t="s">
        <v>124</v>
      </c>
      <c r="G159" s="1637"/>
      <c r="H159" s="1186" t="str">
        <f t="shared" si="5"/>
        <v/>
      </c>
      <c r="I159" s="50"/>
      <c r="J159" s="50"/>
      <c r="K159" s="50"/>
      <c r="L159" s="38" t="str">
        <f t="shared" si="6"/>
        <v/>
      </c>
      <c r="M159" s="38" t="e">
        <f t="shared" si="4"/>
        <v>#DIV/0!</v>
      </c>
    </row>
    <row r="160" spans="1:13" x14ac:dyDescent="0.25">
      <c r="A160" s="50"/>
      <c r="B160" s="1164"/>
      <c r="C160" s="1231" t="s">
        <v>124</v>
      </c>
      <c r="D160" s="1164"/>
      <c r="E160" s="1164"/>
      <c r="F160" s="1637" t="s">
        <v>124</v>
      </c>
      <c r="G160" s="1637"/>
      <c r="H160" s="1186" t="str">
        <f t="shared" si="5"/>
        <v/>
      </c>
      <c r="I160" s="50"/>
      <c r="J160" s="50"/>
      <c r="K160" s="50"/>
      <c r="L160" s="38" t="str">
        <f t="shared" si="6"/>
        <v/>
      </c>
      <c r="M160" s="38" t="e">
        <f t="shared" si="4"/>
        <v>#DIV/0!</v>
      </c>
    </row>
    <row r="161" spans="1:13" x14ac:dyDescent="0.25">
      <c r="A161" s="50"/>
      <c r="B161" s="1164"/>
      <c r="C161" s="1231" t="s">
        <v>124</v>
      </c>
      <c r="D161" s="1164"/>
      <c r="E161" s="1164"/>
      <c r="F161" s="1637" t="s">
        <v>124</v>
      </c>
      <c r="G161" s="1637"/>
      <c r="H161" s="1186" t="str">
        <f t="shared" si="5"/>
        <v/>
      </c>
      <c r="I161" s="50"/>
      <c r="J161" s="50"/>
      <c r="K161" s="50"/>
      <c r="L161" s="38" t="str">
        <f t="shared" si="6"/>
        <v/>
      </c>
      <c r="M161" s="38" t="e">
        <f t="shared" si="4"/>
        <v>#DIV/0!</v>
      </c>
    </row>
    <row r="162" spans="1:13" x14ac:dyDescent="0.25">
      <c r="A162" s="50"/>
      <c r="B162" s="1164"/>
      <c r="C162" s="1231" t="s">
        <v>124</v>
      </c>
      <c r="D162" s="1164"/>
      <c r="E162" s="1164"/>
      <c r="F162" s="1637" t="s">
        <v>124</v>
      </c>
      <c r="G162" s="1637"/>
      <c r="H162" s="1186" t="str">
        <f t="shared" si="5"/>
        <v/>
      </c>
      <c r="I162" s="50"/>
      <c r="J162" s="50"/>
      <c r="K162" s="50"/>
      <c r="L162" s="38" t="str">
        <f t="shared" si="6"/>
        <v/>
      </c>
      <c r="M162" s="38" t="e">
        <f t="shared" si="4"/>
        <v>#DIV/0!</v>
      </c>
    </row>
    <row r="163" spans="1:13" x14ac:dyDescent="0.25">
      <c r="A163" s="50"/>
      <c r="B163" s="1164"/>
      <c r="C163" s="1231" t="s">
        <v>124</v>
      </c>
      <c r="D163" s="1164"/>
      <c r="E163" s="1164"/>
      <c r="F163" s="1637" t="s">
        <v>124</v>
      </c>
      <c r="G163" s="1637"/>
      <c r="H163" s="1186" t="str">
        <f t="shared" si="5"/>
        <v/>
      </c>
      <c r="I163" s="50"/>
      <c r="J163" s="50"/>
      <c r="K163" s="50"/>
      <c r="L163" s="38" t="str">
        <f t="shared" si="6"/>
        <v/>
      </c>
      <c r="M163" s="38" t="e">
        <f t="shared" si="4"/>
        <v>#DIV/0!</v>
      </c>
    </row>
    <row r="164" spans="1:13" x14ac:dyDescent="0.25">
      <c r="A164" s="50"/>
      <c r="B164" s="1164"/>
      <c r="C164" s="1231" t="s">
        <v>124</v>
      </c>
      <c r="D164" s="1164"/>
      <c r="E164" s="1164"/>
      <c r="F164" s="1637" t="s">
        <v>124</v>
      </c>
      <c r="G164" s="1637"/>
      <c r="H164" s="1186" t="str">
        <f t="shared" si="5"/>
        <v/>
      </c>
      <c r="I164" s="50"/>
      <c r="J164" s="50"/>
      <c r="K164" s="50"/>
      <c r="L164" s="38" t="str">
        <f t="shared" si="6"/>
        <v/>
      </c>
      <c r="M164" s="38" t="e">
        <f t="shared" si="4"/>
        <v>#DIV/0!</v>
      </c>
    </row>
    <row r="165" spans="1:13" x14ac:dyDescent="0.25">
      <c r="A165" s="50"/>
      <c r="B165" s="1164"/>
      <c r="C165" s="1231" t="s">
        <v>124</v>
      </c>
      <c r="D165" s="1164"/>
      <c r="E165" s="1164"/>
      <c r="F165" s="1637" t="s">
        <v>124</v>
      </c>
      <c r="G165" s="1637"/>
      <c r="H165" s="1186" t="str">
        <f t="shared" si="5"/>
        <v/>
      </c>
      <c r="I165" s="50"/>
      <c r="J165" s="50"/>
      <c r="K165" s="50"/>
      <c r="L165" s="38" t="str">
        <f t="shared" si="6"/>
        <v/>
      </c>
      <c r="M165" s="38" t="e">
        <f t="shared" si="4"/>
        <v>#DIV/0!</v>
      </c>
    </row>
    <row r="166" spans="1:13" x14ac:dyDescent="0.25">
      <c r="A166" s="50"/>
      <c r="B166" s="1164"/>
      <c r="C166" s="1231" t="s">
        <v>124</v>
      </c>
      <c r="D166" s="1164"/>
      <c r="E166" s="1164"/>
      <c r="F166" s="1637" t="s">
        <v>124</v>
      </c>
      <c r="G166" s="1637"/>
      <c r="H166" s="1186" t="str">
        <f t="shared" si="5"/>
        <v/>
      </c>
      <c r="I166" s="50"/>
      <c r="J166" s="50"/>
      <c r="K166" s="50"/>
      <c r="L166" s="38" t="str">
        <f t="shared" si="6"/>
        <v/>
      </c>
      <c r="M166" s="38" t="e">
        <f t="shared" si="4"/>
        <v>#DIV/0!</v>
      </c>
    </row>
    <row r="167" spans="1:13" x14ac:dyDescent="0.25">
      <c r="A167" s="50"/>
      <c r="B167" s="1164"/>
      <c r="C167" s="1231" t="s">
        <v>124</v>
      </c>
      <c r="D167" s="1164"/>
      <c r="E167" s="1164"/>
      <c r="F167" s="1637" t="s">
        <v>124</v>
      </c>
      <c r="G167" s="1637"/>
      <c r="H167" s="1186" t="str">
        <f t="shared" si="5"/>
        <v/>
      </c>
      <c r="I167" s="50"/>
      <c r="J167" s="50"/>
      <c r="K167" s="50"/>
      <c r="L167" s="38" t="str">
        <f t="shared" si="6"/>
        <v/>
      </c>
      <c r="M167" s="38" t="e">
        <f t="shared" si="4"/>
        <v>#DIV/0!</v>
      </c>
    </row>
    <row r="168" spans="1:13" x14ac:dyDescent="0.25">
      <c r="A168" s="50"/>
      <c r="B168" s="1164"/>
      <c r="C168" s="1231" t="s">
        <v>124</v>
      </c>
      <c r="D168" s="1164"/>
      <c r="E168" s="1164"/>
      <c r="F168" s="1637" t="s">
        <v>124</v>
      </c>
      <c r="G168" s="1637"/>
      <c r="H168" s="1186" t="str">
        <f t="shared" si="5"/>
        <v/>
      </c>
      <c r="I168" s="50"/>
      <c r="J168" s="50"/>
      <c r="K168" s="50"/>
      <c r="L168" s="38" t="str">
        <f t="shared" si="6"/>
        <v/>
      </c>
      <c r="M168" s="38" t="e">
        <f t="shared" si="4"/>
        <v>#DIV/0!</v>
      </c>
    </row>
    <row r="169" spans="1:13" x14ac:dyDescent="0.25">
      <c r="A169" s="50"/>
      <c r="B169" s="1164"/>
      <c r="C169" s="1231" t="s">
        <v>124</v>
      </c>
      <c r="D169" s="1164"/>
      <c r="E169" s="1164"/>
      <c r="F169" s="1637" t="s">
        <v>124</v>
      </c>
      <c r="G169" s="1637"/>
      <c r="H169" s="1186" t="str">
        <f t="shared" si="5"/>
        <v/>
      </c>
      <c r="I169" s="50"/>
      <c r="J169" s="50"/>
      <c r="K169" s="50"/>
      <c r="L169" s="38" t="str">
        <f t="shared" si="6"/>
        <v/>
      </c>
      <c r="M169" s="38" t="e">
        <f t="shared" si="4"/>
        <v>#DIV/0!</v>
      </c>
    </row>
    <row r="170" spans="1:13" x14ac:dyDescent="0.25">
      <c r="A170" s="50"/>
      <c r="B170" s="50"/>
      <c r="C170" s="50"/>
      <c r="D170" s="50"/>
      <c r="E170" s="50"/>
      <c r="F170" s="50"/>
      <c r="G170" s="50"/>
      <c r="H170" s="50"/>
      <c r="I170" s="50"/>
      <c r="J170" s="50"/>
      <c r="K170" s="50"/>
    </row>
    <row r="171" spans="1:13" x14ac:dyDescent="0.25">
      <c r="A171" s="50"/>
      <c r="B171" s="589" t="s">
        <v>2378</v>
      </c>
      <c r="C171" s="50"/>
      <c r="D171" s="50"/>
      <c r="E171" s="50"/>
      <c r="F171" s="50"/>
      <c r="G171" s="50"/>
      <c r="H171" s="50"/>
      <c r="I171" s="50"/>
      <c r="J171" s="50"/>
      <c r="K171" s="50"/>
    </row>
    <row r="172" spans="1:13" x14ac:dyDescent="0.25">
      <c r="A172" s="50"/>
      <c r="B172" s="50"/>
      <c r="C172" s="50"/>
      <c r="D172" s="50"/>
      <c r="E172" s="50"/>
      <c r="F172" s="50"/>
      <c r="G172" s="50"/>
      <c r="H172" s="50"/>
      <c r="I172" s="50"/>
      <c r="J172" s="50"/>
      <c r="K172" s="50"/>
    </row>
    <row r="173" spans="1:13" ht="19.5" customHeight="1" x14ac:dyDescent="0.25">
      <c r="A173" s="50"/>
      <c r="B173" s="1576" t="s">
        <v>2374</v>
      </c>
      <c r="C173" s="1577"/>
      <c r="D173" s="1578"/>
      <c r="E173" s="1228" t="s">
        <v>124</v>
      </c>
      <c r="F173" s="50"/>
      <c r="G173" s="50"/>
      <c r="H173" s="50"/>
      <c r="I173" s="50"/>
      <c r="J173" s="50"/>
      <c r="K173" s="50"/>
    </row>
    <row r="174" spans="1:13" ht="19.5" customHeight="1" x14ac:dyDescent="0.25">
      <c r="A174" s="50"/>
      <c r="B174" s="1576" t="s">
        <v>2376</v>
      </c>
      <c r="C174" s="1577"/>
      <c r="D174" s="1578"/>
      <c r="E174" s="1228" t="s">
        <v>124</v>
      </c>
      <c r="F174" s="50"/>
      <c r="G174" s="50"/>
      <c r="H174" s="50"/>
      <c r="I174" s="50"/>
      <c r="J174" s="50"/>
      <c r="K174" s="50"/>
    </row>
    <row r="175" spans="1:13" x14ac:dyDescent="0.25">
      <c r="A175" s="50"/>
      <c r="B175" s="50"/>
      <c r="C175" s="50"/>
      <c r="D175" s="50"/>
      <c r="E175" s="50"/>
      <c r="F175" s="50"/>
      <c r="G175" s="50"/>
      <c r="H175" s="50"/>
      <c r="I175" s="50"/>
      <c r="J175" s="50"/>
      <c r="K175" s="50"/>
    </row>
    <row r="176" spans="1:13" ht="18" customHeight="1" x14ac:dyDescent="0.25">
      <c r="A176" s="50"/>
      <c r="B176" s="1623" t="s">
        <v>2261</v>
      </c>
      <c r="C176" s="1623"/>
      <c r="D176" s="208" t="str">
        <f>IF(AND(COUNTIF(M155:M169,"Yes")&gt;0,COUNTIF(M155:M169,"No")=0,E173="Yes",E174&lt;&gt;""),"Yes","No")</f>
        <v>No</v>
      </c>
      <c r="E176" s="50"/>
      <c r="F176" s="50"/>
      <c r="G176" s="50"/>
      <c r="H176" s="50"/>
      <c r="I176" s="50"/>
      <c r="J176" s="50"/>
      <c r="K176" s="50"/>
    </row>
    <row r="177" spans="1:12" ht="18.75" customHeight="1" x14ac:dyDescent="0.25">
      <c r="A177" s="50"/>
      <c r="B177" s="50"/>
      <c r="C177" s="50"/>
      <c r="D177" s="50"/>
      <c r="E177" s="50"/>
      <c r="F177" s="50"/>
      <c r="G177" s="50"/>
      <c r="H177" s="50"/>
      <c r="I177" s="50"/>
      <c r="J177" s="50"/>
      <c r="K177" s="50"/>
    </row>
    <row r="178" spans="1:12" ht="16.5" customHeight="1" x14ac:dyDescent="0.25">
      <c r="A178" s="1592" t="s">
        <v>186</v>
      </c>
      <c r="B178" s="1592"/>
      <c r="C178" s="1592"/>
      <c r="D178" s="50"/>
      <c r="E178" s="50"/>
      <c r="F178" s="50"/>
      <c r="G178" s="50"/>
      <c r="H178" s="50"/>
      <c r="I178" s="50"/>
      <c r="J178" s="50"/>
      <c r="K178" s="50"/>
    </row>
    <row r="179" spans="1:12" ht="16.5" customHeight="1" x14ac:dyDescent="0.25">
      <c r="A179" s="50"/>
      <c r="B179" s="50"/>
      <c r="C179" s="50"/>
      <c r="D179" s="50"/>
      <c r="E179" s="50"/>
      <c r="F179" s="50"/>
      <c r="G179" s="50"/>
      <c r="H179" s="50"/>
      <c r="I179" s="50"/>
      <c r="J179" s="50"/>
      <c r="K179" s="50"/>
    </row>
    <row r="180" spans="1:12" ht="18" customHeight="1" x14ac:dyDescent="0.25">
      <c r="A180" s="49"/>
      <c r="B180" s="1582" t="s">
        <v>190</v>
      </c>
      <c r="C180" s="1583"/>
      <c r="D180" s="1583"/>
      <c r="E180" s="1583"/>
      <c r="F180" s="1583"/>
      <c r="G180" s="1160" t="s">
        <v>1737</v>
      </c>
      <c r="H180" s="1589" t="s">
        <v>1738</v>
      </c>
      <c r="I180" s="1590"/>
      <c r="J180" s="50"/>
      <c r="K180" s="50"/>
    </row>
    <row r="181" spans="1:12" ht="24" customHeight="1" x14ac:dyDescent="0.25">
      <c r="A181" s="49"/>
      <c r="B181" s="1576" t="s">
        <v>2285</v>
      </c>
      <c r="C181" s="1577"/>
      <c r="D181" s="1577"/>
      <c r="E181" s="1577"/>
      <c r="F181" s="1578"/>
      <c r="G181" s="1164" t="s">
        <v>124</v>
      </c>
      <c r="H181" s="1763"/>
      <c r="I181" s="1764"/>
      <c r="J181" s="50"/>
      <c r="K181" s="50"/>
      <c r="L181" s="38" t="str">
        <f>IF(OR(B181="/",B181="No evidence required at this submission stage"),"Yes",IF(G181="Submitted","Yes","No"))</f>
        <v>No</v>
      </c>
    </row>
    <row r="182" spans="1:12" ht="24" customHeight="1" x14ac:dyDescent="0.25">
      <c r="A182" s="49"/>
      <c r="B182" s="1576" t="s">
        <v>2286</v>
      </c>
      <c r="C182" s="1577"/>
      <c r="D182" s="1577"/>
      <c r="E182" s="1577"/>
      <c r="F182" s="1578"/>
      <c r="G182" s="1164" t="s">
        <v>124</v>
      </c>
      <c r="H182" s="1763"/>
      <c r="I182" s="1764"/>
      <c r="J182" s="50"/>
      <c r="K182" s="50"/>
      <c r="L182" s="38" t="str">
        <f>IF(OR(B182="/",B182="No evidence required at this submission stage"),"Yes",IF(G182="Submitted","Yes","No"))</f>
        <v>No</v>
      </c>
    </row>
    <row r="183" spans="1:12" ht="19.5" customHeight="1" x14ac:dyDescent="0.25">
      <c r="A183" s="50"/>
      <c r="B183" s="50"/>
      <c r="C183" s="50"/>
      <c r="D183" s="50"/>
      <c r="E183" s="50"/>
      <c r="F183" s="50"/>
      <c r="G183" s="50"/>
      <c r="H183" s="50"/>
      <c r="I183" s="50"/>
      <c r="J183" s="50"/>
      <c r="K183" s="50"/>
    </row>
    <row r="184" spans="1:12" ht="16.5" customHeight="1" x14ac:dyDescent="0.25">
      <c r="A184" s="1592" t="s">
        <v>22</v>
      </c>
      <c r="B184" s="1592"/>
      <c r="C184" s="1592"/>
      <c r="D184" s="50"/>
      <c r="E184" s="50"/>
      <c r="F184" s="50"/>
      <c r="G184" s="50"/>
      <c r="H184" s="50"/>
      <c r="I184" s="50"/>
      <c r="J184" s="50"/>
      <c r="K184" s="50"/>
    </row>
    <row r="185" spans="1:12" ht="17.25" customHeight="1" x14ac:dyDescent="0.25">
      <c r="A185" s="50"/>
      <c r="B185" s="50"/>
      <c r="C185" s="50"/>
      <c r="D185" s="50"/>
      <c r="E185" s="50"/>
      <c r="F185" s="50"/>
      <c r="G185" s="50"/>
      <c r="H185" s="50"/>
      <c r="I185" s="50"/>
      <c r="J185" s="50"/>
      <c r="K185" s="50"/>
    </row>
    <row r="186" spans="1:12" ht="18" customHeight="1" x14ac:dyDescent="0.25">
      <c r="A186" s="50"/>
      <c r="B186" s="205" t="s">
        <v>53</v>
      </c>
      <c r="C186" s="1328">
        <f>IF(D176="Yes",1,0)</f>
        <v>0</v>
      </c>
      <c r="D186" s="50"/>
      <c r="E186" s="50"/>
      <c r="F186" s="50"/>
      <c r="G186" s="50"/>
      <c r="H186" s="50"/>
      <c r="I186" s="50"/>
      <c r="J186" s="50"/>
      <c r="K186" s="50"/>
    </row>
    <row r="187" spans="1:12" ht="18" customHeight="1" x14ac:dyDescent="0.25">
      <c r="A187" s="50"/>
      <c r="B187" s="205" t="s">
        <v>492</v>
      </c>
      <c r="C187" s="1328" t="str">
        <f>IF(AND(COUNTIF(L181:L182,"Yes")=2,C186&gt;0),"Yes","No")</f>
        <v>No</v>
      </c>
      <c r="D187" s="50"/>
      <c r="E187" s="50"/>
      <c r="F187" s="50"/>
      <c r="G187" s="50"/>
      <c r="H187" s="50"/>
      <c r="I187" s="50"/>
      <c r="J187" s="50"/>
      <c r="K187" s="50"/>
    </row>
    <row r="188" spans="1:12" ht="21" customHeight="1" x14ac:dyDescent="0.25">
      <c r="A188" s="50"/>
      <c r="B188" s="50"/>
      <c r="C188" s="50"/>
      <c r="D188" s="50"/>
      <c r="E188" s="50"/>
      <c r="F188" s="50"/>
      <c r="G188" s="50"/>
      <c r="H188" s="50"/>
      <c r="I188" s="50"/>
      <c r="J188" s="50"/>
      <c r="K188" s="50"/>
    </row>
    <row r="189" spans="1:12" ht="18" customHeight="1" x14ac:dyDescent="0.25">
      <c r="A189" s="1591" t="s">
        <v>2263</v>
      </c>
      <c r="B189" s="1591"/>
      <c r="C189" s="1591"/>
      <c r="D189" s="1591"/>
      <c r="E189" s="1591"/>
      <c r="F189" s="1591"/>
      <c r="G189" s="1591"/>
      <c r="H189" s="1591"/>
      <c r="I189" s="1591"/>
      <c r="J189" s="1591"/>
      <c r="K189" s="1591"/>
    </row>
    <row r="190" spans="1:12" ht="15" customHeight="1" x14ac:dyDescent="0.25">
      <c r="A190" s="50"/>
      <c r="B190" s="50"/>
      <c r="C190" s="50"/>
      <c r="D190" s="50"/>
      <c r="E190" s="50"/>
      <c r="F190" s="50"/>
      <c r="G190" s="50"/>
      <c r="H190" s="50"/>
      <c r="I190" s="50"/>
      <c r="J190" s="50"/>
      <c r="K190" s="50"/>
    </row>
    <row r="191" spans="1:12" ht="16.5" customHeight="1" x14ac:dyDescent="0.25">
      <c r="A191" s="1592" t="s">
        <v>245</v>
      </c>
      <c r="B191" s="1592"/>
      <c r="C191" s="1592"/>
      <c r="D191" s="50"/>
      <c r="E191" s="50"/>
      <c r="F191" s="50"/>
      <c r="G191" s="50"/>
      <c r="H191" s="50"/>
      <c r="I191" s="50"/>
      <c r="J191" s="50"/>
      <c r="K191" s="50"/>
    </row>
    <row r="192" spans="1:12" x14ac:dyDescent="0.25">
      <c r="A192" s="50"/>
      <c r="B192" s="50"/>
      <c r="C192" s="50"/>
      <c r="D192" s="50"/>
      <c r="E192" s="50"/>
      <c r="F192" s="50"/>
      <c r="G192" s="50"/>
      <c r="H192" s="50"/>
      <c r="I192" s="50"/>
      <c r="J192" s="50"/>
      <c r="K192" s="50"/>
    </row>
    <row r="193" spans="1:11" x14ac:dyDescent="0.25">
      <c r="A193" s="50"/>
      <c r="B193" s="1021" t="s">
        <v>2264</v>
      </c>
      <c r="C193" s="50"/>
      <c r="D193" s="50"/>
      <c r="E193" s="50"/>
      <c r="F193" s="49"/>
      <c r="G193" s="49"/>
      <c r="H193" s="49"/>
      <c r="I193" s="49"/>
      <c r="J193" s="50"/>
      <c r="K193" s="50"/>
    </row>
    <row r="194" spans="1:11" ht="14.25" customHeight="1" x14ac:dyDescent="0.25">
      <c r="A194" s="50"/>
      <c r="B194" s="50"/>
      <c r="C194" s="50"/>
      <c r="D194" s="50"/>
      <c r="E194" s="50"/>
      <c r="F194" s="50"/>
      <c r="G194" s="50"/>
      <c r="H194" s="50"/>
      <c r="I194" s="50"/>
      <c r="J194" s="50"/>
      <c r="K194" s="50"/>
    </row>
    <row r="195" spans="1:11" ht="9" customHeight="1" x14ac:dyDescent="0.25">
      <c r="A195" s="50"/>
      <c r="B195" s="1141"/>
      <c r="C195" s="50"/>
      <c r="D195" s="50"/>
      <c r="E195" s="50"/>
      <c r="F195" s="50"/>
      <c r="G195" s="50"/>
      <c r="H195" s="50"/>
      <c r="I195" s="50"/>
      <c r="J195" s="50"/>
      <c r="K195" s="50"/>
    </row>
    <row r="196" spans="1:11" x14ac:dyDescent="0.25">
      <c r="A196" s="50"/>
      <c r="B196" s="1767" t="s">
        <v>2265</v>
      </c>
      <c r="C196" s="1768"/>
      <c r="D196" s="1768"/>
      <c r="E196" s="1768"/>
      <c r="F196" s="1768"/>
      <c r="G196" s="1768"/>
      <c r="H196" s="1768"/>
      <c r="I196" s="1769"/>
      <c r="J196" s="50"/>
      <c r="K196" s="50"/>
    </row>
    <row r="197" spans="1:11" ht="35.25" customHeight="1" x14ac:dyDescent="0.25">
      <c r="A197" s="50"/>
      <c r="B197" s="1770" t="s">
        <v>2266</v>
      </c>
      <c r="C197" s="1771"/>
      <c r="D197" s="1771"/>
      <c r="E197" s="1771"/>
      <c r="F197" s="1771"/>
      <c r="G197" s="1771"/>
      <c r="H197" s="1771"/>
      <c r="I197" s="1772"/>
      <c r="J197" s="50"/>
      <c r="K197" s="50"/>
    </row>
    <row r="198" spans="1:11" ht="66.75" customHeight="1" x14ac:dyDescent="0.25">
      <c r="A198" s="50"/>
      <c r="B198" s="1704" t="s">
        <v>2267</v>
      </c>
      <c r="C198" s="1705"/>
      <c r="D198" s="1705"/>
      <c r="E198" s="1705"/>
      <c r="F198" s="1705"/>
      <c r="G198" s="1705"/>
      <c r="H198" s="1705"/>
      <c r="I198" s="1706"/>
      <c r="J198" s="50"/>
      <c r="K198" s="50"/>
    </row>
    <row r="199" spans="1:11" x14ac:dyDescent="0.25">
      <c r="A199" s="50"/>
      <c r="B199" s="1187"/>
      <c r="C199" s="1187"/>
      <c r="D199" s="1187"/>
      <c r="E199" s="1187"/>
      <c r="F199" s="1187"/>
      <c r="G199" s="1187"/>
      <c r="H199" s="1187"/>
      <c r="I199" s="1187"/>
      <c r="J199" s="50"/>
      <c r="K199" s="50"/>
    </row>
    <row r="200" spans="1:11" x14ac:dyDescent="0.25">
      <c r="A200" s="50"/>
      <c r="B200" s="50"/>
      <c r="C200" s="50"/>
      <c r="D200" s="50"/>
      <c r="E200" s="1766" t="s">
        <v>2268</v>
      </c>
      <c r="F200" s="1766"/>
      <c r="G200" s="1766"/>
      <c r="H200" s="1766"/>
      <c r="I200" s="1766"/>
      <c r="J200" s="1766"/>
      <c r="K200" s="1766"/>
    </row>
    <row r="201" spans="1:11" x14ac:dyDescent="0.25">
      <c r="A201" s="50"/>
      <c r="B201" s="50"/>
      <c r="C201" s="50"/>
      <c r="D201" s="50"/>
      <c r="E201" s="50"/>
      <c r="F201" s="50"/>
      <c r="G201" s="50"/>
      <c r="H201" s="50"/>
      <c r="I201" s="50"/>
      <c r="J201" s="50"/>
      <c r="K201" s="50"/>
    </row>
    <row r="202" spans="1:11" x14ac:dyDescent="0.25">
      <c r="A202" s="50"/>
      <c r="B202" s="50"/>
      <c r="C202" s="50"/>
      <c r="D202" s="50"/>
      <c r="E202" s="50"/>
      <c r="F202" s="50"/>
      <c r="G202" s="50"/>
      <c r="H202" s="50"/>
      <c r="I202" s="50"/>
      <c r="J202" s="50"/>
      <c r="K202" s="50"/>
    </row>
    <row r="203" spans="1:11" x14ac:dyDescent="0.25">
      <c r="A203" s="1766" t="s">
        <v>2269</v>
      </c>
      <c r="B203" s="1766"/>
      <c r="C203" s="1766"/>
      <c r="D203" s="1766"/>
      <c r="E203" s="1189"/>
      <c r="F203" s="50"/>
      <c r="G203" s="50"/>
      <c r="H203" s="50"/>
      <c r="I203" s="50"/>
      <c r="J203" s="50"/>
      <c r="K203" s="50"/>
    </row>
    <row r="204" spans="1:11" x14ac:dyDescent="0.25">
      <c r="A204" s="50"/>
      <c r="B204" s="50"/>
      <c r="C204" s="50"/>
      <c r="D204" s="50"/>
      <c r="E204" s="50"/>
      <c r="F204" s="50"/>
      <c r="G204" s="50"/>
      <c r="H204" s="50"/>
      <c r="I204" s="50"/>
      <c r="J204" s="50"/>
      <c r="K204" s="50"/>
    </row>
    <row r="205" spans="1:11" x14ac:dyDescent="0.25">
      <c r="A205" s="50"/>
      <c r="B205" s="50"/>
      <c r="C205" s="50"/>
      <c r="D205" s="50"/>
      <c r="E205" s="50"/>
      <c r="F205" s="50"/>
      <c r="G205" s="50"/>
      <c r="H205" s="50"/>
      <c r="I205" s="50"/>
      <c r="J205" s="50"/>
      <c r="K205" s="50"/>
    </row>
    <row r="206" spans="1:11" x14ac:dyDescent="0.25">
      <c r="A206" s="50"/>
      <c r="B206" s="50"/>
      <c r="C206" s="50"/>
      <c r="D206" s="50"/>
      <c r="E206" s="50"/>
      <c r="F206" s="50"/>
      <c r="G206" s="50"/>
      <c r="H206" s="50"/>
      <c r="I206" s="50"/>
      <c r="J206" s="50"/>
      <c r="K206" s="50"/>
    </row>
    <row r="207" spans="1:11" x14ac:dyDescent="0.25">
      <c r="A207" s="50"/>
      <c r="B207" s="50"/>
      <c r="C207" s="50"/>
      <c r="D207" s="50"/>
      <c r="E207" s="50"/>
      <c r="F207" s="50"/>
      <c r="G207" s="50"/>
      <c r="H207" s="50"/>
      <c r="I207" s="50"/>
      <c r="J207" s="50"/>
      <c r="K207" s="50"/>
    </row>
    <row r="208" spans="1:11" x14ac:dyDescent="0.25">
      <c r="A208" s="50"/>
      <c r="B208" s="50"/>
      <c r="C208" s="50"/>
      <c r="D208" s="50"/>
      <c r="E208" s="50"/>
      <c r="F208" s="50"/>
      <c r="G208" s="50"/>
      <c r="H208" s="50"/>
      <c r="I208" s="50"/>
      <c r="J208" s="50"/>
      <c r="K208" s="50"/>
    </row>
    <row r="209" spans="1:11" x14ac:dyDescent="0.25">
      <c r="A209" s="50"/>
      <c r="B209" s="50"/>
      <c r="C209" s="50"/>
      <c r="D209" s="50"/>
      <c r="E209" s="50"/>
      <c r="F209" s="50"/>
      <c r="G209" s="50"/>
      <c r="H209" s="50"/>
      <c r="I209" s="50"/>
      <c r="J209" s="50"/>
      <c r="K209" s="50"/>
    </row>
    <row r="210" spans="1:11" x14ac:dyDescent="0.25">
      <c r="A210" s="50"/>
      <c r="B210" s="50"/>
      <c r="C210" s="50"/>
      <c r="D210" s="50"/>
      <c r="E210" s="50"/>
      <c r="F210" s="50"/>
      <c r="G210" s="50"/>
      <c r="H210" s="50"/>
      <c r="I210" s="50"/>
      <c r="J210" s="50"/>
      <c r="K210" s="50"/>
    </row>
    <row r="211" spans="1:11" x14ac:dyDescent="0.25">
      <c r="A211" s="50"/>
      <c r="B211" s="50"/>
      <c r="C211" s="50"/>
      <c r="D211" s="50"/>
      <c r="E211" s="50"/>
      <c r="F211" s="50"/>
      <c r="G211" s="50"/>
      <c r="H211" s="50"/>
      <c r="I211" s="50"/>
      <c r="J211" s="50"/>
      <c r="K211" s="50"/>
    </row>
    <row r="212" spans="1:11" x14ac:dyDescent="0.25">
      <c r="A212" s="50"/>
      <c r="B212" s="50"/>
      <c r="C212" s="50"/>
      <c r="D212" s="50"/>
      <c r="E212" s="50"/>
      <c r="F212" s="50"/>
      <c r="G212" s="50"/>
      <c r="H212" s="50"/>
      <c r="I212" s="50"/>
      <c r="J212" s="50"/>
      <c r="K212" s="50"/>
    </row>
    <row r="213" spans="1:11" x14ac:dyDescent="0.25">
      <c r="A213" s="50"/>
      <c r="B213" s="50"/>
      <c r="C213" s="50"/>
      <c r="D213" s="50"/>
      <c r="E213" s="50"/>
      <c r="F213" s="50"/>
      <c r="G213" s="50"/>
      <c r="H213" s="50"/>
      <c r="I213" s="50"/>
      <c r="J213" s="50"/>
      <c r="K213" s="50"/>
    </row>
    <row r="214" spans="1:11" x14ac:dyDescent="0.25">
      <c r="A214" s="50"/>
      <c r="B214" s="50"/>
      <c r="C214" s="50"/>
      <c r="D214" s="50"/>
      <c r="E214" s="50"/>
      <c r="F214" s="50"/>
      <c r="G214" s="50"/>
      <c r="H214" s="50"/>
      <c r="I214" s="50"/>
      <c r="J214" s="50"/>
      <c r="K214" s="50"/>
    </row>
    <row r="215" spans="1:11" x14ac:dyDescent="0.25">
      <c r="A215" s="50"/>
      <c r="B215" s="50"/>
      <c r="C215" s="50"/>
      <c r="D215" s="50"/>
      <c r="E215" s="50"/>
      <c r="F215" s="50"/>
      <c r="G215" s="50"/>
      <c r="H215" s="50"/>
      <c r="I215" s="50"/>
      <c r="J215" s="50"/>
      <c r="K215" s="50"/>
    </row>
    <row r="216" spans="1:11" x14ac:dyDescent="0.25">
      <c r="A216" s="50"/>
      <c r="B216" s="50"/>
      <c r="C216" s="50"/>
      <c r="D216" s="50"/>
      <c r="E216" s="50"/>
      <c r="F216" s="50"/>
      <c r="G216" s="50"/>
      <c r="H216" s="50"/>
      <c r="I216" s="50"/>
      <c r="J216" s="50"/>
      <c r="K216" s="50"/>
    </row>
    <row r="217" spans="1:11" x14ac:dyDescent="0.25">
      <c r="A217" s="50"/>
      <c r="B217" s="50"/>
      <c r="C217" s="50"/>
      <c r="D217" s="50"/>
      <c r="E217" s="50"/>
      <c r="F217" s="50"/>
      <c r="G217" s="50"/>
      <c r="H217" s="50"/>
      <c r="I217" s="50"/>
      <c r="J217" s="50"/>
      <c r="K217" s="50"/>
    </row>
    <row r="218" spans="1:11" x14ac:dyDescent="0.25">
      <c r="A218" s="50"/>
      <c r="B218" s="50"/>
      <c r="C218" s="50"/>
      <c r="D218" s="50"/>
      <c r="E218" s="50"/>
      <c r="F218" s="50"/>
      <c r="G218" s="50"/>
      <c r="H218" s="50"/>
      <c r="I218" s="50"/>
      <c r="J218" s="50"/>
      <c r="K218" s="50"/>
    </row>
    <row r="219" spans="1:11" x14ac:dyDescent="0.25">
      <c r="A219" s="50"/>
      <c r="B219" s="50"/>
      <c r="C219" s="50"/>
      <c r="D219" s="50"/>
      <c r="E219" s="50"/>
      <c r="F219" s="50"/>
      <c r="G219" s="50"/>
      <c r="H219" s="50"/>
      <c r="I219" s="50"/>
      <c r="J219" s="50"/>
      <c r="K219" s="50"/>
    </row>
    <row r="220" spans="1:11" x14ac:dyDescent="0.25">
      <c r="A220" s="50"/>
      <c r="B220" s="50"/>
      <c r="C220" s="50"/>
      <c r="D220" s="50"/>
      <c r="E220" s="50"/>
      <c r="F220" s="50"/>
      <c r="G220" s="50"/>
      <c r="H220" s="50"/>
      <c r="I220" s="50"/>
      <c r="J220" s="50"/>
      <c r="K220" s="50"/>
    </row>
    <row r="221" spans="1:11" x14ac:dyDescent="0.25">
      <c r="A221" s="50"/>
      <c r="B221" s="50"/>
      <c r="C221" s="50"/>
      <c r="D221" s="50"/>
      <c r="E221" s="50"/>
      <c r="F221" s="50"/>
      <c r="G221" s="50"/>
      <c r="H221" s="50"/>
      <c r="I221" s="50"/>
      <c r="J221" s="50"/>
      <c r="K221" s="50"/>
    </row>
    <row r="222" spans="1:11" x14ac:dyDescent="0.25">
      <c r="A222" s="50"/>
      <c r="B222" s="50"/>
      <c r="C222" s="50"/>
      <c r="D222" s="50"/>
      <c r="E222" s="50"/>
      <c r="F222" s="50"/>
      <c r="G222" s="50"/>
      <c r="H222" s="50"/>
      <c r="I222" s="50"/>
      <c r="J222" s="50"/>
      <c r="K222" s="50"/>
    </row>
    <row r="223" spans="1:11" x14ac:dyDescent="0.25">
      <c r="A223" s="50"/>
      <c r="B223" s="50"/>
      <c r="C223" s="50"/>
      <c r="D223" s="50"/>
      <c r="E223" s="50"/>
      <c r="F223" s="50"/>
      <c r="G223" s="50"/>
      <c r="H223" s="50"/>
      <c r="I223" s="50"/>
      <c r="J223" s="50"/>
      <c r="K223" s="50"/>
    </row>
    <row r="224" spans="1:11" x14ac:dyDescent="0.25">
      <c r="A224" s="50"/>
      <c r="B224" s="50"/>
      <c r="C224" s="50"/>
      <c r="D224" s="50"/>
      <c r="E224" s="50"/>
      <c r="F224" s="50"/>
      <c r="G224" s="50"/>
      <c r="H224" s="50"/>
      <c r="I224" s="50"/>
      <c r="J224" s="50"/>
      <c r="K224" s="50"/>
    </row>
    <row r="225" spans="1:13" x14ac:dyDescent="0.25">
      <c r="A225" s="50"/>
      <c r="B225" s="50"/>
      <c r="C225" s="50"/>
      <c r="D225" s="50"/>
      <c r="E225" s="50"/>
      <c r="F225" s="50"/>
      <c r="G225" s="50"/>
      <c r="H225" s="50"/>
      <c r="I225" s="50"/>
      <c r="J225" s="50"/>
      <c r="K225" s="50"/>
    </row>
    <row r="226" spans="1:13" x14ac:dyDescent="0.25">
      <c r="A226" s="50"/>
      <c r="B226" s="703" t="s">
        <v>2270</v>
      </c>
      <c r="C226" s="1190"/>
      <c r="D226" s="1190"/>
      <c r="E226" s="1190"/>
      <c r="F226" s="1190"/>
      <c r="G226" s="1190"/>
      <c r="H226" s="1190"/>
      <c r="I226" s="1190"/>
      <c r="J226" s="1191"/>
      <c r="K226" s="50"/>
    </row>
    <row r="227" spans="1:13" x14ac:dyDescent="0.25">
      <c r="A227" s="50"/>
      <c r="B227" s="1196" t="s">
        <v>2271</v>
      </c>
      <c r="C227" s="1192"/>
      <c r="D227" s="1192"/>
      <c r="E227" s="1192"/>
      <c r="F227" s="1192"/>
      <c r="G227" s="1192"/>
      <c r="H227" s="1192"/>
      <c r="I227" s="1192"/>
      <c r="J227" s="1193"/>
      <c r="K227" s="50"/>
    </row>
    <row r="228" spans="1:13" x14ac:dyDescent="0.25">
      <c r="A228" s="50"/>
      <c r="B228" s="1196" t="s">
        <v>2272</v>
      </c>
      <c r="C228" s="1192"/>
      <c r="D228" s="1192"/>
      <c r="E228" s="1192"/>
      <c r="F228" s="1192"/>
      <c r="G228" s="1192"/>
      <c r="H228" s="1192"/>
      <c r="I228" s="1192"/>
      <c r="J228" s="1193"/>
      <c r="K228" s="50"/>
    </row>
    <row r="229" spans="1:13" x14ac:dyDescent="0.25">
      <c r="A229" s="50"/>
      <c r="B229" s="1197" t="s">
        <v>2273</v>
      </c>
      <c r="C229" s="1194"/>
      <c r="D229" s="1194"/>
      <c r="E229" s="1194"/>
      <c r="F229" s="1194"/>
      <c r="G229" s="1194"/>
      <c r="H229" s="1194"/>
      <c r="I229" s="1194"/>
      <c r="J229" s="1195"/>
      <c r="K229" s="50"/>
    </row>
    <row r="230" spans="1:13" ht="12" customHeight="1" x14ac:dyDescent="0.25">
      <c r="A230" s="50"/>
      <c r="B230" s="1188"/>
      <c r="C230" s="50"/>
      <c r="D230" s="50"/>
      <c r="E230" s="50"/>
      <c r="F230" s="50"/>
      <c r="G230" s="50"/>
      <c r="H230" s="50"/>
      <c r="I230" s="50"/>
      <c r="J230" s="50"/>
      <c r="K230" s="50"/>
    </row>
    <row r="231" spans="1:13" ht="18" customHeight="1" x14ac:dyDescent="0.25">
      <c r="A231" s="50"/>
      <c r="B231" s="1765" t="s">
        <v>2274</v>
      </c>
      <c r="C231" s="1765"/>
      <c r="D231" s="1765"/>
      <c r="E231" s="1765"/>
      <c r="F231" s="1765"/>
      <c r="G231" s="1765"/>
      <c r="H231" s="1765"/>
      <c r="I231" s="1765"/>
      <c r="J231" s="50"/>
      <c r="K231" s="50"/>
    </row>
    <row r="232" spans="1:13" ht="18" customHeight="1" x14ac:dyDescent="0.25">
      <c r="A232" s="50"/>
      <c r="B232" s="1765"/>
      <c r="C232" s="1765"/>
      <c r="D232" s="1765"/>
      <c r="E232" s="1765"/>
      <c r="F232" s="1765"/>
      <c r="G232" s="1765"/>
      <c r="H232" s="1765"/>
      <c r="I232" s="1765"/>
      <c r="J232" s="50"/>
      <c r="K232" s="50"/>
    </row>
    <row r="233" spans="1:13" x14ac:dyDescent="0.25">
      <c r="A233" s="50"/>
      <c r="B233" s="1176"/>
      <c r="C233" s="1176"/>
      <c r="D233" s="1176"/>
      <c r="E233" s="1176"/>
      <c r="F233" s="1176"/>
      <c r="G233" s="1176"/>
      <c r="H233" s="1176"/>
      <c r="I233" s="1176"/>
      <c r="J233" s="50"/>
      <c r="K233" s="50"/>
    </row>
    <row r="234" spans="1:13" ht="15.75" customHeight="1" x14ac:dyDescent="0.25">
      <c r="A234" s="50"/>
      <c r="B234" s="642" t="s">
        <v>2275</v>
      </c>
      <c r="C234" s="50"/>
      <c r="D234" s="50"/>
      <c r="E234" s="50"/>
      <c r="F234" s="50"/>
      <c r="G234" s="50"/>
      <c r="H234" s="50"/>
      <c r="I234" s="50"/>
      <c r="J234" s="50"/>
      <c r="K234" s="50"/>
    </row>
    <row r="235" spans="1:13" ht="12" customHeight="1" x14ac:dyDescent="0.25">
      <c r="A235" s="50"/>
      <c r="B235" s="1016"/>
      <c r="C235" s="50"/>
      <c r="D235" s="50"/>
      <c r="E235" s="50"/>
      <c r="F235" s="50"/>
      <c r="G235" s="50"/>
      <c r="H235" s="50"/>
      <c r="I235" s="50"/>
      <c r="J235" s="50"/>
      <c r="K235" s="50"/>
    </row>
    <row r="236" spans="1:13" ht="26.25" customHeight="1" x14ac:dyDescent="0.25">
      <c r="A236" s="50"/>
      <c r="B236" s="1162" t="s">
        <v>191</v>
      </c>
      <c r="C236" s="1163" t="s">
        <v>2276</v>
      </c>
      <c r="D236" s="1160" t="s">
        <v>2277</v>
      </c>
      <c r="E236" s="1163" t="s">
        <v>2278</v>
      </c>
      <c r="F236" s="1163" t="s">
        <v>2279</v>
      </c>
      <c r="G236" s="1163" t="s">
        <v>2280</v>
      </c>
      <c r="H236" s="1599" t="s">
        <v>30</v>
      </c>
      <c r="I236" s="1666"/>
      <c r="J236" s="50"/>
      <c r="K236" s="50"/>
    </row>
    <row r="237" spans="1:13" x14ac:dyDescent="0.25">
      <c r="A237" s="50"/>
      <c r="B237" s="1164"/>
      <c r="C237" s="1164"/>
      <c r="D237" s="1164" t="s">
        <v>124</v>
      </c>
      <c r="E237" s="1164" t="s">
        <v>124</v>
      </c>
      <c r="F237" s="1164" t="s">
        <v>124</v>
      </c>
      <c r="G237" s="1164" t="s">
        <v>124</v>
      </c>
      <c r="H237" s="1637"/>
      <c r="I237" s="1637"/>
      <c r="J237" s="50"/>
      <c r="K237" s="50"/>
      <c r="L237" s="38" t="str">
        <f>IF(AND(B237&lt;&gt;"",C237&lt;&gt;""),IF(OR(D237="Select",D237="no lighting control"),"No",IF(D237="independent manual switch","Yes",M237)),"")</f>
        <v/>
      </c>
      <c r="M237" s="38" t="b">
        <f>IF(E237="half the depth of the potentially daylit area",IF(F237="No","Yes",IF(AND(F237="Yes",G237="Yes"),"Yes","No")))</f>
        <v>0</v>
      </c>
    </row>
    <row r="238" spans="1:13" x14ac:dyDescent="0.25">
      <c r="A238" s="50"/>
      <c r="B238" s="1164"/>
      <c r="C238" s="1164"/>
      <c r="D238" s="1164" t="s">
        <v>124</v>
      </c>
      <c r="E238" s="1164" t="s">
        <v>124</v>
      </c>
      <c r="F238" s="1164" t="s">
        <v>124</v>
      </c>
      <c r="G238" s="1164" t="s">
        <v>124</v>
      </c>
      <c r="H238" s="1637"/>
      <c r="I238" s="1637"/>
      <c r="J238" s="50"/>
      <c r="K238" s="50"/>
      <c r="L238" s="38" t="str">
        <f t="shared" ref="L238:L246" si="7">IF(OR(B238&lt;&gt;"",C238&lt;&gt;""),IF(OR(D238="Select",D238="no lighting control"),"No",IF(D238="independent manual switch","Yes",M238)),"")</f>
        <v/>
      </c>
      <c r="M238" s="38" t="b">
        <f t="shared" ref="M238:M246" si="8">IF(E238="half the depth of the potentially daylit area",IF(F238="No","Yes",IF(AND(F238="Yes",G238="Yes"),"Yes","No")))</f>
        <v>0</v>
      </c>
    </row>
    <row r="239" spans="1:13" x14ac:dyDescent="0.25">
      <c r="A239" s="50"/>
      <c r="B239" s="1164"/>
      <c r="C239" s="1164"/>
      <c r="D239" s="1164" t="s">
        <v>124</v>
      </c>
      <c r="E239" s="1164" t="s">
        <v>124</v>
      </c>
      <c r="F239" s="1164" t="s">
        <v>124</v>
      </c>
      <c r="G239" s="1164" t="s">
        <v>124</v>
      </c>
      <c r="H239" s="1637"/>
      <c r="I239" s="1637"/>
      <c r="J239" s="50"/>
      <c r="K239" s="50"/>
      <c r="L239" s="38" t="str">
        <f t="shared" si="7"/>
        <v/>
      </c>
      <c r="M239" s="38" t="b">
        <f t="shared" si="8"/>
        <v>0</v>
      </c>
    </row>
    <row r="240" spans="1:13" x14ac:dyDescent="0.25">
      <c r="A240" s="50"/>
      <c r="B240" s="1164"/>
      <c r="C240" s="1164"/>
      <c r="D240" s="1164" t="s">
        <v>124</v>
      </c>
      <c r="E240" s="1164" t="s">
        <v>124</v>
      </c>
      <c r="F240" s="1164" t="s">
        <v>124</v>
      </c>
      <c r="G240" s="1164" t="s">
        <v>124</v>
      </c>
      <c r="H240" s="1637"/>
      <c r="I240" s="1637"/>
      <c r="J240" s="50"/>
      <c r="K240" s="50"/>
      <c r="L240" s="38" t="str">
        <f t="shared" si="7"/>
        <v/>
      </c>
      <c r="M240" s="38" t="b">
        <f t="shared" si="8"/>
        <v>0</v>
      </c>
    </row>
    <row r="241" spans="1:13" x14ac:dyDescent="0.25">
      <c r="A241" s="50"/>
      <c r="B241" s="1164"/>
      <c r="C241" s="1164"/>
      <c r="D241" s="1164" t="s">
        <v>124</v>
      </c>
      <c r="E241" s="1164" t="s">
        <v>124</v>
      </c>
      <c r="F241" s="1164" t="s">
        <v>124</v>
      </c>
      <c r="G241" s="1164" t="s">
        <v>124</v>
      </c>
      <c r="H241" s="1637"/>
      <c r="I241" s="1637"/>
      <c r="J241" s="50"/>
      <c r="K241" s="50"/>
      <c r="L241" s="38" t="str">
        <f t="shared" si="7"/>
        <v/>
      </c>
      <c r="M241" s="38" t="b">
        <f t="shared" si="8"/>
        <v>0</v>
      </c>
    </row>
    <row r="242" spans="1:13" x14ac:dyDescent="0.25">
      <c r="A242" s="50"/>
      <c r="B242" s="1164"/>
      <c r="C242" s="1164"/>
      <c r="D242" s="1164" t="s">
        <v>124</v>
      </c>
      <c r="E242" s="1164" t="s">
        <v>124</v>
      </c>
      <c r="F242" s="1164" t="s">
        <v>124</v>
      </c>
      <c r="G242" s="1164" t="s">
        <v>124</v>
      </c>
      <c r="H242" s="1637"/>
      <c r="I242" s="1637"/>
      <c r="J242" s="50"/>
      <c r="K242" s="50"/>
      <c r="L242" s="38" t="str">
        <f t="shared" si="7"/>
        <v/>
      </c>
      <c r="M242" s="38" t="b">
        <f t="shared" si="8"/>
        <v>0</v>
      </c>
    </row>
    <row r="243" spans="1:13" x14ac:dyDescent="0.25">
      <c r="A243" s="50"/>
      <c r="B243" s="1164"/>
      <c r="C243" s="1164"/>
      <c r="D243" s="1164" t="s">
        <v>124</v>
      </c>
      <c r="E243" s="1164" t="s">
        <v>124</v>
      </c>
      <c r="F243" s="1164" t="s">
        <v>124</v>
      </c>
      <c r="G243" s="1164" t="s">
        <v>124</v>
      </c>
      <c r="H243" s="1637"/>
      <c r="I243" s="1637"/>
      <c r="J243" s="50"/>
      <c r="K243" s="50"/>
      <c r="L243" s="38" t="str">
        <f t="shared" si="7"/>
        <v/>
      </c>
      <c r="M243" s="38" t="b">
        <f t="shared" si="8"/>
        <v>0</v>
      </c>
    </row>
    <row r="244" spans="1:13" x14ac:dyDescent="0.25">
      <c r="A244" s="50"/>
      <c r="B244" s="1164"/>
      <c r="C244" s="1164"/>
      <c r="D244" s="1164" t="s">
        <v>124</v>
      </c>
      <c r="E244" s="1164" t="s">
        <v>124</v>
      </c>
      <c r="F244" s="1164" t="s">
        <v>124</v>
      </c>
      <c r="G244" s="1164" t="s">
        <v>124</v>
      </c>
      <c r="H244" s="1637"/>
      <c r="I244" s="1637"/>
      <c r="J244" s="50"/>
      <c r="K244" s="50"/>
      <c r="L244" s="38" t="str">
        <f t="shared" si="7"/>
        <v/>
      </c>
      <c r="M244" s="38" t="b">
        <f t="shared" si="8"/>
        <v>0</v>
      </c>
    </row>
    <row r="245" spans="1:13" x14ac:dyDescent="0.25">
      <c r="A245" s="50"/>
      <c r="B245" s="1164"/>
      <c r="C245" s="1164"/>
      <c r="D245" s="1164" t="s">
        <v>124</v>
      </c>
      <c r="E245" s="1164" t="s">
        <v>124</v>
      </c>
      <c r="F245" s="1164" t="s">
        <v>124</v>
      </c>
      <c r="G245" s="1164" t="s">
        <v>124</v>
      </c>
      <c r="H245" s="1637"/>
      <c r="I245" s="1637"/>
      <c r="J245" s="50"/>
      <c r="K245" s="50"/>
      <c r="L245" s="38" t="str">
        <f t="shared" si="7"/>
        <v/>
      </c>
      <c r="M245" s="38" t="b">
        <f t="shared" si="8"/>
        <v>0</v>
      </c>
    </row>
    <row r="246" spans="1:13" x14ac:dyDescent="0.25">
      <c r="A246" s="50"/>
      <c r="B246" s="1164"/>
      <c r="C246" s="1164"/>
      <c r="D246" s="1164" t="s">
        <v>124</v>
      </c>
      <c r="E246" s="1164" t="s">
        <v>124</v>
      </c>
      <c r="F246" s="1164" t="s">
        <v>124</v>
      </c>
      <c r="G246" s="1164" t="s">
        <v>124</v>
      </c>
      <c r="H246" s="1637"/>
      <c r="I246" s="1637"/>
      <c r="J246" s="50"/>
      <c r="K246" s="50"/>
      <c r="L246" s="38" t="str">
        <f t="shared" si="7"/>
        <v/>
      </c>
      <c r="M246" s="38" t="b">
        <f t="shared" si="8"/>
        <v>0</v>
      </c>
    </row>
    <row r="247" spans="1:13" x14ac:dyDescent="0.25">
      <c r="A247" s="50"/>
      <c r="B247" s="185"/>
      <c r="C247" s="50"/>
      <c r="D247" s="50"/>
      <c r="E247" s="50"/>
      <c r="F247" s="50"/>
      <c r="G247" s="50"/>
      <c r="H247" s="50"/>
      <c r="I247" s="50"/>
      <c r="J247" s="50"/>
      <c r="K247" s="50"/>
    </row>
    <row r="248" spans="1:13" ht="18" customHeight="1" x14ac:dyDescent="0.25">
      <c r="A248" s="50"/>
      <c r="B248" s="1623" t="s">
        <v>2281</v>
      </c>
      <c r="C248" s="1623"/>
      <c r="D248" s="208" t="str">
        <f>IF(AND(COUNTIF(L237:L246,"Yes")&gt;0,COUNTIF(L237:L246,"No")=0),"Yes","No")</f>
        <v>No</v>
      </c>
      <c r="E248" s="50"/>
      <c r="F248" s="50"/>
      <c r="G248" s="50"/>
      <c r="H248" s="50"/>
      <c r="I248" s="50"/>
      <c r="J248" s="50"/>
      <c r="K248" s="50"/>
    </row>
    <row r="249" spans="1:13" ht="19.5" customHeight="1" x14ac:dyDescent="0.25">
      <c r="A249" s="50"/>
      <c r="B249" s="50"/>
      <c r="C249" s="50"/>
      <c r="D249" s="50"/>
      <c r="E249" s="50"/>
      <c r="F249" s="50"/>
      <c r="G249" s="50"/>
      <c r="H249" s="50"/>
      <c r="I249" s="50"/>
      <c r="J249" s="50"/>
      <c r="K249" s="50"/>
    </row>
    <row r="250" spans="1:13" ht="16.5" customHeight="1" x14ac:dyDescent="0.25">
      <c r="A250" s="1161" t="s">
        <v>186</v>
      </c>
      <c r="B250" s="92"/>
      <c r="C250" s="92"/>
      <c r="D250" s="50"/>
      <c r="E250" s="50"/>
      <c r="F250" s="50"/>
      <c r="G250" s="50"/>
      <c r="H250" s="50"/>
      <c r="I250" s="50"/>
      <c r="J250" s="50"/>
      <c r="K250" s="50"/>
    </row>
    <row r="251" spans="1:13" ht="15.75" customHeight="1" x14ac:dyDescent="0.25">
      <c r="A251" s="50"/>
      <c r="B251" s="50"/>
      <c r="C251" s="50"/>
      <c r="D251" s="50"/>
      <c r="E251" s="50"/>
      <c r="F251" s="50"/>
      <c r="G251" s="50"/>
      <c r="H251" s="50"/>
      <c r="I251" s="50"/>
      <c r="J251" s="50"/>
      <c r="K251" s="50"/>
    </row>
    <row r="252" spans="1:13" ht="18" customHeight="1" x14ac:dyDescent="0.25">
      <c r="A252" s="49"/>
      <c r="B252" s="1582" t="s">
        <v>190</v>
      </c>
      <c r="C252" s="1583"/>
      <c r="D252" s="1583"/>
      <c r="E252" s="1583"/>
      <c r="F252" s="1583"/>
      <c r="G252" s="1160" t="s">
        <v>1737</v>
      </c>
      <c r="H252" s="1589" t="s">
        <v>1738</v>
      </c>
      <c r="I252" s="1590"/>
      <c r="J252" s="50"/>
      <c r="K252" s="50"/>
    </row>
    <row r="253" spans="1:13" ht="24" customHeight="1" x14ac:dyDescent="0.25">
      <c r="A253" s="49"/>
      <c r="B253" s="1576" t="s">
        <v>2283</v>
      </c>
      <c r="C253" s="1577"/>
      <c r="D253" s="1577"/>
      <c r="E253" s="1577"/>
      <c r="F253" s="1578"/>
      <c r="G253" s="1164" t="s">
        <v>124</v>
      </c>
      <c r="H253" s="1763"/>
      <c r="I253" s="1764"/>
      <c r="J253" s="50"/>
      <c r="K253" s="50"/>
      <c r="L253" s="38" t="str">
        <f>IF(OR(B253="/",B253="No evidence required at this submission stage"),"Yes",IF(G253="Submitted","Yes","No"))</f>
        <v>No</v>
      </c>
    </row>
    <row r="254" spans="1:13" ht="27" customHeight="1" x14ac:dyDescent="0.25">
      <c r="A254" s="49"/>
      <c r="B254" s="1576" t="s">
        <v>2284</v>
      </c>
      <c r="C254" s="1577"/>
      <c r="D254" s="1577"/>
      <c r="E254" s="1577"/>
      <c r="F254" s="1578"/>
      <c r="G254" s="1164" t="s">
        <v>124</v>
      </c>
      <c r="H254" s="1763"/>
      <c r="I254" s="1764"/>
      <c r="J254" s="50"/>
      <c r="K254" s="50"/>
      <c r="L254" s="38" t="str">
        <f>IF(OR(B254="/",B254="No evidence required at this submission stage"),"Yes",IF(G254="Submitted","Yes","No"))</f>
        <v>No</v>
      </c>
    </row>
    <row r="255" spans="1:13" ht="19.5" customHeight="1" x14ac:dyDescent="0.25">
      <c r="A255" s="50"/>
      <c r="B255" s="50"/>
      <c r="C255" s="50"/>
      <c r="D255" s="50"/>
      <c r="E255" s="50"/>
      <c r="F255" s="50"/>
      <c r="G255" s="50"/>
      <c r="H255" s="50"/>
      <c r="I255" s="50"/>
      <c r="J255" s="50"/>
      <c r="K255" s="50"/>
    </row>
    <row r="256" spans="1:13" ht="16.5" customHeight="1" x14ac:dyDescent="0.25">
      <c r="A256" s="1592" t="s">
        <v>22</v>
      </c>
      <c r="B256" s="1592"/>
      <c r="C256" s="1592"/>
      <c r="D256" s="50"/>
      <c r="E256" s="50"/>
      <c r="F256" s="50"/>
      <c r="G256" s="50"/>
      <c r="H256" s="50"/>
      <c r="I256" s="50"/>
      <c r="J256" s="50"/>
      <c r="K256" s="50"/>
    </row>
    <row r="257" spans="1:11" ht="17.25" customHeight="1" x14ac:dyDescent="0.25">
      <c r="A257" s="50"/>
      <c r="B257" s="50"/>
      <c r="C257" s="50"/>
      <c r="D257" s="50"/>
      <c r="E257" s="50"/>
      <c r="F257" s="50"/>
      <c r="G257" s="50"/>
      <c r="H257" s="50"/>
      <c r="I257" s="50"/>
      <c r="J257" s="50"/>
      <c r="K257" s="50"/>
    </row>
    <row r="258" spans="1:11" ht="18" customHeight="1" x14ac:dyDescent="0.25">
      <c r="A258" s="50"/>
      <c r="B258" s="205" t="s">
        <v>53</v>
      </c>
      <c r="C258" s="1328">
        <f>IF(D248="Yes",1,0)</f>
        <v>0</v>
      </c>
      <c r="D258" s="50"/>
      <c r="E258" s="50"/>
      <c r="F258" s="50"/>
      <c r="G258" s="50"/>
      <c r="H258" s="50"/>
      <c r="I258" s="50"/>
      <c r="J258" s="50"/>
      <c r="K258" s="50"/>
    </row>
    <row r="259" spans="1:11" ht="18" customHeight="1" x14ac:dyDescent="0.25">
      <c r="A259" s="50"/>
      <c r="B259" s="205" t="s">
        <v>492</v>
      </c>
      <c r="C259" s="1328" t="str">
        <f>IF(AND(COUNTIF(L253:L254,"Yes")=2,C258&gt;0),"Yes","No")</f>
        <v>No</v>
      </c>
      <c r="D259" s="50"/>
      <c r="E259" s="50"/>
      <c r="F259" s="50"/>
      <c r="G259" s="50"/>
      <c r="H259" s="50"/>
      <c r="I259" s="50"/>
      <c r="J259" s="50"/>
      <c r="K259" s="50"/>
    </row>
    <row r="260" spans="1:11" ht="21" customHeight="1" x14ac:dyDescent="0.25">
      <c r="A260" s="50"/>
      <c r="B260" s="50"/>
      <c r="C260" s="50"/>
      <c r="D260" s="50"/>
      <c r="E260" s="50"/>
      <c r="F260" s="50"/>
      <c r="G260" s="50"/>
      <c r="H260" s="50"/>
      <c r="I260" s="50"/>
      <c r="J260" s="50"/>
      <c r="K260" s="50"/>
    </row>
    <row r="261" spans="1:11" hidden="1" x14ac:dyDescent="0.25"/>
  </sheetData>
  <sheetProtection algorithmName="SHA-512" hashValue="33jPtDaKC7cmCLJqXaEmcNfH7qZ2reaY3mPYSM1NFzfmyjUtIw/dDGX6B09HGpkp065tG8pw6ULjtq/C3PnoOA==" saltValue="W7gZL7oTys4CDo+y5nVNbg==" spinCount="100000" sheet="1" objects="1" scenarios="1"/>
  <mergeCells count="121">
    <mergeCell ref="A1:K1"/>
    <mergeCell ref="B95:C95"/>
    <mergeCell ref="B118:D118"/>
    <mergeCell ref="B117:D117"/>
    <mergeCell ref="A5:K7"/>
    <mergeCell ref="A27:C27"/>
    <mergeCell ref="A34:C34"/>
    <mergeCell ref="A58:C58"/>
    <mergeCell ref="B11:E11"/>
    <mergeCell ref="B13:E13"/>
    <mergeCell ref="B56:C56"/>
    <mergeCell ref="B60:F60"/>
    <mergeCell ref="B79:C79"/>
    <mergeCell ref="B84:C84"/>
    <mergeCell ref="B85:C85"/>
    <mergeCell ref="B31:I32"/>
    <mergeCell ref="H61:I61"/>
    <mergeCell ref="H62:I62"/>
    <mergeCell ref="B76:C76"/>
    <mergeCell ref="B77:C77"/>
    <mergeCell ref="B78:C78"/>
    <mergeCell ref="B92:I92"/>
    <mergeCell ref="A9:K9"/>
    <mergeCell ref="B14:E14"/>
    <mergeCell ref="B18:E18"/>
    <mergeCell ref="B19:E19"/>
    <mergeCell ref="B80:C80"/>
    <mergeCell ref="B16:E16"/>
    <mergeCell ref="G2:I4"/>
    <mergeCell ref="B96:C96"/>
    <mergeCell ref="B62:F62"/>
    <mergeCell ref="A64:C64"/>
    <mergeCell ref="A90:C90"/>
    <mergeCell ref="A71:C71"/>
    <mergeCell ref="A25:K25"/>
    <mergeCell ref="A69:K69"/>
    <mergeCell ref="H60:I60"/>
    <mergeCell ref="B81:C81"/>
    <mergeCell ref="B82:C82"/>
    <mergeCell ref="B83:C83"/>
    <mergeCell ref="B61:F61"/>
    <mergeCell ref="B140:I140"/>
    <mergeCell ref="B141:I141"/>
    <mergeCell ref="B144:I144"/>
    <mergeCell ref="B148:I148"/>
    <mergeCell ref="B149:I149"/>
    <mergeCell ref="B23:C23"/>
    <mergeCell ref="A132:K132"/>
    <mergeCell ref="A134:C134"/>
    <mergeCell ref="B138:I138"/>
    <mergeCell ref="B139:I139"/>
    <mergeCell ref="A127:C127"/>
    <mergeCell ref="B124:F124"/>
    <mergeCell ref="B125:F125"/>
    <mergeCell ref="A121:C121"/>
    <mergeCell ref="B123:F123"/>
    <mergeCell ref="H123:I123"/>
    <mergeCell ref="H124:I124"/>
    <mergeCell ref="H125:I125"/>
    <mergeCell ref="B119:D119"/>
    <mergeCell ref="B142:I142"/>
    <mergeCell ref="B143:I143"/>
    <mergeCell ref="F167:G167"/>
    <mergeCell ref="F158:G158"/>
    <mergeCell ref="F159:G159"/>
    <mergeCell ref="F160:G160"/>
    <mergeCell ref="F161:G161"/>
    <mergeCell ref="F162:G162"/>
    <mergeCell ref="B150:I150"/>
    <mergeCell ref="F154:G154"/>
    <mergeCell ref="F155:G155"/>
    <mergeCell ref="F156:G156"/>
    <mergeCell ref="F157:G157"/>
    <mergeCell ref="A189:K189"/>
    <mergeCell ref="A191:C191"/>
    <mergeCell ref="B196:I196"/>
    <mergeCell ref="B197:I197"/>
    <mergeCell ref="B198:I198"/>
    <mergeCell ref="A184:C184"/>
    <mergeCell ref="B12:H12"/>
    <mergeCell ref="B15:H15"/>
    <mergeCell ref="B17:H17"/>
    <mergeCell ref="A21:K21"/>
    <mergeCell ref="H180:I180"/>
    <mergeCell ref="B181:F181"/>
    <mergeCell ref="H181:I181"/>
    <mergeCell ref="B182:F182"/>
    <mergeCell ref="H182:I182"/>
    <mergeCell ref="F168:G168"/>
    <mergeCell ref="F169:G169"/>
    <mergeCell ref="B176:C176"/>
    <mergeCell ref="A178:C178"/>
    <mergeCell ref="B180:F180"/>
    <mergeCell ref="F163:G163"/>
    <mergeCell ref="F164:G164"/>
    <mergeCell ref="F165:G165"/>
    <mergeCell ref="F166:G166"/>
    <mergeCell ref="B173:D173"/>
    <mergeCell ref="B174:D174"/>
    <mergeCell ref="B253:F253"/>
    <mergeCell ref="H253:I253"/>
    <mergeCell ref="B254:F254"/>
    <mergeCell ref="H254:I254"/>
    <mergeCell ref="A256:C256"/>
    <mergeCell ref="B231:I232"/>
    <mergeCell ref="B248:C248"/>
    <mergeCell ref="B252:F252"/>
    <mergeCell ref="H252:I252"/>
    <mergeCell ref="H236:I236"/>
    <mergeCell ref="H237:I237"/>
    <mergeCell ref="H239:I239"/>
    <mergeCell ref="H238:I238"/>
    <mergeCell ref="H240:I240"/>
    <mergeCell ref="H241:I241"/>
    <mergeCell ref="H242:I242"/>
    <mergeCell ref="H243:I243"/>
    <mergeCell ref="H244:I244"/>
    <mergeCell ref="H245:I245"/>
    <mergeCell ref="H246:I246"/>
    <mergeCell ref="E200:K200"/>
    <mergeCell ref="A203:D203"/>
  </mergeCells>
  <conditionalFormatting sqref="E237:G246">
    <cfRule type="expression" dxfId="348" priority="18">
      <formula>$D237="independent manual switch"</formula>
    </cfRule>
  </conditionalFormatting>
  <conditionalFormatting sqref="G237:G246">
    <cfRule type="expression" dxfId="347" priority="17">
      <formula>$F237="No"</formula>
    </cfRule>
  </conditionalFormatting>
  <conditionalFormatting sqref="E237:H237 E238:G246">
    <cfRule type="expression" dxfId="346" priority="12">
      <formula>$D237="no lighting control"</formula>
    </cfRule>
  </conditionalFormatting>
  <conditionalFormatting sqref="H239">
    <cfRule type="expression" dxfId="345" priority="11">
      <formula>$D239="no lighting control"</formula>
    </cfRule>
  </conditionalFormatting>
  <conditionalFormatting sqref="H238">
    <cfRule type="expression" dxfId="344" priority="10">
      <formula>$D238="no lighting control"</formula>
    </cfRule>
  </conditionalFormatting>
  <conditionalFormatting sqref="H240">
    <cfRule type="expression" dxfId="343" priority="9">
      <formula>$D240="no lighting control"</formula>
    </cfRule>
  </conditionalFormatting>
  <conditionalFormatting sqref="H242">
    <cfRule type="expression" dxfId="342" priority="8">
      <formula>$D242="no lighting control"</formula>
    </cfRule>
  </conditionalFormatting>
  <conditionalFormatting sqref="H241">
    <cfRule type="expression" dxfId="341" priority="7">
      <formula>$D241="no lighting control"</formula>
    </cfRule>
  </conditionalFormatting>
  <conditionalFormatting sqref="H243">
    <cfRule type="expression" dxfId="340" priority="6">
      <formula>$D243="no lighting control"</formula>
    </cfRule>
  </conditionalFormatting>
  <conditionalFormatting sqref="H246">
    <cfRule type="expression" dxfId="339" priority="2">
      <formula>$D246="no lighting control"</formula>
    </cfRule>
  </conditionalFormatting>
  <conditionalFormatting sqref="H245">
    <cfRule type="expression" dxfId="338" priority="1">
      <formula>$D245="no lighting control"</formula>
    </cfRule>
  </conditionalFormatting>
  <conditionalFormatting sqref="H244">
    <cfRule type="expression" dxfId="337" priority="3">
      <formula>$D244="no lighting control"</formula>
    </cfRule>
  </conditionalFormatting>
  <dataValidations count="21">
    <dataValidation type="list" allowBlank="1" showInputMessage="1" showErrorMessage="1" sqref="D23" xr:uid="{00000000-0002-0000-0F00-000000000000}">
      <formula1>"Select,Prescriptive Path, Performance Path"</formula1>
    </dataValidation>
    <dataValidation allowBlank="1" showInputMessage="1" showErrorMessage="1" prompt="Complete if any._x000a_Additional Power can be for ballasts, control devices, current regulators..." sqref="F100:F115" xr:uid="{00000000-0002-0000-0F00-000001000000}"/>
    <dataValidation type="list" allowBlank="1" showInputMessage="1" showErrorMessage="1" sqref="G61:G62 G124:G125 G181:G182 G253:G254" xr:uid="{00000000-0002-0000-0F00-000002000000}">
      <formula1>"Select,Submitted,Not submitted"</formula1>
    </dataValidation>
    <dataValidation allowBlank="1" showInputMessage="1" showErrorMessage="1" prompt="Individal power (W) of the lighting fixture" sqref="E100:E115 E39:E53" xr:uid="{00000000-0002-0000-0F00-000003000000}"/>
    <dataValidation allowBlank="1" showInputMessage="1" showErrorMessage="1" prompt="Enter the type of the installed lighting fixture, it can be LED, T5 fluorescent, CFL, etc." sqref="C100:C115 C39:C53" xr:uid="{00000000-0002-0000-0F00-000004000000}"/>
    <dataValidation allowBlank="1" showInputMessage="1" showErrorMessage="1" prompt="Enter the name of the light fixture." sqref="B39:B53 B101:B115" xr:uid="{00000000-0002-0000-0F00-000005000000}"/>
    <dataValidation type="list" allowBlank="1" showInputMessage="1" showErrorMessage="1" sqref="D95:H95" xr:uid="{00000000-0002-0000-0F00-000006000000}">
      <formula1>space_types</formula1>
    </dataValidation>
    <dataValidation allowBlank="1" showInputMessage="1" showErrorMessage="1" prompt="Enter the name of the separate space." sqref="B155:B169" xr:uid="{00000000-0002-0000-0F00-000007000000}"/>
    <dataValidation type="list" allowBlank="1" showInputMessage="1" showErrorMessage="1" sqref="F155:F169" xr:uid="{00000000-0002-0000-0F00-000008000000}">
      <formula1>"Select,manual switch, occupancy sensor, vacancy sensor + manual switch"</formula1>
    </dataValidation>
    <dataValidation type="list" allowBlank="1" showInputMessage="1" showErrorMessage="1" sqref="D237:D246" xr:uid="{00000000-0002-0000-0F00-000009000000}">
      <formula1>"Select,photosensor to dim and switch off the lights,photosensor to dim the lights,photosensors to switch the lights off, independent manual switch,no lighting control"</formula1>
    </dataValidation>
    <dataValidation type="list" allowBlank="1" showInputMessage="1" showErrorMessage="1" prompt="Complete only if some photosensors are installed" sqref="E237:E246" xr:uid="{00000000-0002-0000-0F00-00000A000000}">
      <formula1>"Select,half the depth of the potentially daylit area,other"</formula1>
    </dataValidation>
    <dataValidation allowBlank="1" showInputMessage="1" showErrorMessage="1" prompt="Details on the lighting control such as the natural light levels preset for the photosensors._x000a_(if necessary)." sqref="H237:H246" xr:uid="{00000000-0002-0000-0F00-00000B000000}"/>
    <dataValidation type="list" allowBlank="1" showInputMessage="1" showErrorMessage="1" prompt="Are occupancy sensors prioritized over photosensors for lighting control?_x000a_Complete only if some occupancy sensors and photosensors are installed." sqref="G237:G246" xr:uid="{00000000-0002-0000-0F00-00000C000000}">
      <formula1>"Select,Yes,No"</formula1>
    </dataValidation>
    <dataValidation type="list" allowBlank="1" showInputMessage="1" showErrorMessage="1" prompt="Complete only if some photosensors are installed" sqref="F237:F246" xr:uid="{00000000-0002-0000-0F00-00000D000000}">
      <formula1>"Select,Yes,No"</formula1>
    </dataValidation>
    <dataValidation allowBlank="1" showInputMessage="1" showErrorMessage="1" prompt="Name of the room where the potentially daylit area is located." sqref="B237:B245" xr:uid="{00000000-0002-0000-0F00-00000E000000}"/>
    <dataValidation allowBlank="1" showInputMessage="1" showErrorMessage="1" prompt="Number and types of lamps installed in the potentially daylit area._x000a_" sqref="C237:C245" xr:uid="{00000000-0002-0000-0F00-00000F000000}"/>
    <dataValidation allowBlank="1" showInputMessage="1" showErrorMessage="1" prompt="Name of the room where the potentially day-lit area is located." sqref="B246" xr:uid="{00000000-0002-0000-0F00-000010000000}"/>
    <dataValidation allowBlank="1" showInputMessage="1" showErrorMessage="1" prompt="Number and types of lamps installed in the potentially day-lit area._x000a_" sqref="C246" xr:uid="{00000000-0002-0000-0F00-000011000000}"/>
    <dataValidation type="list" allowBlank="1" showInputMessage="1" showErrorMessage="1" sqref="E173" xr:uid="{00000000-0002-0000-0F00-000012000000}">
      <formula1>"Select,Yes,No"</formula1>
    </dataValidation>
    <dataValidation type="list" allowBlank="1" showInputMessage="1" showErrorMessage="1" sqref="E174" xr:uid="{00000000-0002-0000-0F00-000013000000}">
      <formula1>"Select,Main Switch, Scheduling, Occupant Sensor, Other"</formula1>
    </dataValidation>
    <dataValidation type="list" allowBlank="1" showInputMessage="1" showErrorMessage="1" prompt="• Select 'passageways' only in office buildings, hotels, schools and residential buildings._x000a__x000a_• Select 'in-house parking lots' only in schools and residential buildings." sqref="C155:C169" xr:uid="{00000000-0002-0000-0F00-000014000000}">
      <formula1>"Select,conference room, passageway, in-house parking lots, other"</formula1>
    </dataValidation>
  </dataValidations>
  <hyperlinks>
    <hyperlink ref="K2" location="'E-5 Energy Efficient Appliances'!B3" tooltip="E-5" display="E-5" xr:uid="{00000000-0004-0000-0F00-000000000000}"/>
    <hyperlink ref="K4" location="'Energy BPC'!B3" tooltip="BPC" display="BPC" xr:uid="{00000000-0004-0000-0F00-000001000000}"/>
    <hyperlink ref="J3" location="'E-2 Building Envelope'!B3" tooltip="E-2" display="E-2" xr:uid="{00000000-0004-0000-0F00-000002000000}"/>
    <hyperlink ref="J2" location="'E-1 Passive Design'!B3" tooltip="E-1" display="E-1" xr:uid="{00000000-0004-0000-0F00-000003000000}"/>
    <hyperlink ref="J4" location="'E-3 Building Cooling'!B3" tooltip="E-3" display="E-3" xr:uid="{00000000-0004-0000-0F00-000004000000}"/>
    <hyperlink ref="K3" location="'E-6 Energy Monitor'!B3" tooltip="E-6" display="E-6" xr:uid="{00000000-0004-0000-0F00-000005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58B527"/>
  </sheetPr>
  <dimension ref="A1:P122"/>
  <sheetViews>
    <sheetView showGridLines="0" zoomScaleNormal="100" workbookViewId="0">
      <pane ySplit="8" topLeftCell="A69" activePane="bottomLeft" state="frozen"/>
      <selection activeCell="E9" sqref="E9:F9"/>
      <selection pane="bottomLeft" activeCell="M26" sqref="M26"/>
    </sheetView>
  </sheetViews>
  <sheetFormatPr defaultColWidth="9.140625" defaultRowHeight="15" zeroHeight="1" x14ac:dyDescent="0.25"/>
  <cols>
    <col min="1" max="1" width="3.7109375" style="38" customWidth="1"/>
    <col min="2" max="2" width="20.7109375" style="38" customWidth="1"/>
    <col min="3" max="3" width="22.42578125" style="38" customWidth="1"/>
    <col min="4" max="4" width="20.7109375" style="38" customWidth="1"/>
    <col min="5" max="5" width="21.5703125" style="38" customWidth="1"/>
    <col min="6" max="6" width="20.7109375" style="38" customWidth="1"/>
    <col min="7" max="7" width="17.5703125" style="38" customWidth="1"/>
    <col min="8" max="8" width="22" style="38" customWidth="1"/>
    <col min="9" max="11" width="8.7109375" style="38" customWidth="1"/>
    <col min="12" max="12" width="9.140625" style="38" customWidth="1"/>
    <col min="13" max="13" width="35.28515625" style="38" customWidth="1"/>
    <col min="14" max="16384" width="9.140625" style="38"/>
  </cols>
  <sheetData>
    <row r="1" spans="1:13" ht="25.5" customHeight="1" x14ac:dyDescent="0.25">
      <c r="A1" s="1584" t="s">
        <v>1609</v>
      </c>
      <c r="B1" s="1584"/>
      <c r="C1" s="1584"/>
      <c r="D1" s="1584"/>
      <c r="E1" s="1584"/>
      <c r="F1" s="1584"/>
      <c r="G1" s="1584"/>
      <c r="H1" s="1584"/>
      <c r="I1" s="1584"/>
      <c r="J1" s="1584"/>
      <c r="K1" s="1584"/>
    </row>
    <row r="2" spans="1:13" ht="15" customHeight="1" x14ac:dyDescent="0.25">
      <c r="A2" s="50"/>
      <c r="B2" s="50"/>
      <c r="C2" s="50"/>
      <c r="D2" s="50"/>
      <c r="E2" s="50"/>
      <c r="F2" s="49"/>
      <c r="G2" s="49"/>
      <c r="H2" s="1585" t="s">
        <v>505</v>
      </c>
      <c r="I2" s="212" t="s">
        <v>59</v>
      </c>
      <c r="J2" s="212" t="s">
        <v>70</v>
      </c>
      <c r="K2" s="212" t="s">
        <v>76</v>
      </c>
    </row>
    <row r="3" spans="1:13" ht="15" customHeight="1" x14ac:dyDescent="0.25">
      <c r="A3" s="50"/>
      <c r="B3" s="50"/>
      <c r="C3" s="50"/>
      <c r="D3" s="50"/>
      <c r="E3" s="50"/>
      <c r="F3" s="49"/>
      <c r="G3" s="49"/>
      <c r="H3" s="1585"/>
      <c r="I3" s="212" t="s">
        <v>63</v>
      </c>
      <c r="J3" s="212" t="s">
        <v>78</v>
      </c>
      <c r="K3" s="213"/>
    </row>
    <row r="4" spans="1:13" ht="15" customHeight="1" x14ac:dyDescent="0.25">
      <c r="A4" s="50"/>
      <c r="B4" s="50"/>
      <c r="C4" s="50"/>
      <c r="D4" s="50"/>
      <c r="E4" s="50"/>
      <c r="F4" s="49"/>
      <c r="G4" s="49"/>
      <c r="H4" s="1586"/>
      <c r="I4" s="212" t="s">
        <v>67</v>
      </c>
      <c r="J4" s="212" t="s">
        <v>99</v>
      </c>
      <c r="K4" s="213"/>
    </row>
    <row r="5" spans="1:13" ht="21" customHeight="1" x14ac:dyDescent="0.25">
      <c r="A5" s="1600" t="s">
        <v>1543</v>
      </c>
      <c r="B5" s="1601"/>
      <c r="C5" s="1601"/>
      <c r="D5" s="1601"/>
      <c r="E5" s="1601"/>
      <c r="F5" s="1601"/>
      <c r="G5" s="1601"/>
      <c r="H5" s="1601"/>
      <c r="I5" s="1601"/>
      <c r="J5" s="1601"/>
      <c r="K5" s="1601"/>
      <c r="M5" s="173"/>
    </row>
    <row r="6" spans="1:13" ht="21" customHeight="1" x14ac:dyDescent="0.25">
      <c r="A6" s="1603"/>
      <c r="B6" s="1604"/>
      <c r="C6" s="1604"/>
      <c r="D6" s="1604"/>
      <c r="E6" s="1604"/>
      <c r="F6" s="1604"/>
      <c r="G6" s="1604"/>
      <c r="H6" s="1604"/>
      <c r="I6" s="1604"/>
      <c r="J6" s="1604"/>
      <c r="K6" s="1604"/>
      <c r="M6" s="175"/>
    </row>
    <row r="7" spans="1:13" ht="21" customHeight="1" x14ac:dyDescent="0.25">
      <c r="A7" s="1606"/>
      <c r="B7" s="1607"/>
      <c r="C7" s="1607"/>
      <c r="D7" s="1607"/>
      <c r="E7" s="1607"/>
      <c r="F7" s="1607"/>
      <c r="G7" s="1607"/>
      <c r="H7" s="1607"/>
      <c r="I7" s="1607"/>
      <c r="J7" s="1607"/>
      <c r="K7" s="1607"/>
      <c r="M7" s="177"/>
    </row>
    <row r="8" spans="1:13" ht="10.5" customHeight="1" x14ac:dyDescent="0.25">
      <c r="A8" s="49"/>
      <c r="B8" s="50"/>
      <c r="C8" s="50"/>
      <c r="D8" s="50"/>
      <c r="E8" s="50"/>
      <c r="F8" s="49"/>
      <c r="G8" s="49"/>
      <c r="H8" s="49"/>
      <c r="I8" s="49"/>
      <c r="J8" s="49"/>
      <c r="K8" s="49"/>
      <c r="M8" s="49"/>
    </row>
    <row r="9" spans="1:13" ht="18" customHeight="1" x14ac:dyDescent="0.25">
      <c r="A9" s="1591" t="s">
        <v>177</v>
      </c>
      <c r="B9" s="1591"/>
      <c r="C9" s="1591"/>
      <c r="D9" s="1591"/>
      <c r="E9" s="1591"/>
      <c r="F9" s="1591"/>
      <c r="G9" s="1591"/>
      <c r="H9" s="1591"/>
      <c r="I9" s="1591"/>
      <c r="J9" s="1591"/>
      <c r="K9" s="1591"/>
    </row>
    <row r="10" spans="1:13" x14ac:dyDescent="0.25">
      <c r="A10" s="49"/>
      <c r="B10" s="50"/>
      <c r="C10" s="50"/>
      <c r="D10" s="50"/>
      <c r="E10" s="50"/>
      <c r="F10" s="49"/>
      <c r="G10" s="49"/>
      <c r="H10" s="49"/>
      <c r="I10" s="49"/>
      <c r="J10" s="49"/>
      <c r="K10" s="49"/>
    </row>
    <row r="11" spans="1:13" ht="16.5" customHeight="1" x14ac:dyDescent="0.25">
      <c r="A11" s="49"/>
      <c r="B11" s="1679" t="s">
        <v>243</v>
      </c>
      <c r="C11" s="1680"/>
      <c r="D11" s="1815" t="s">
        <v>124</v>
      </c>
      <c r="E11" s="1815"/>
      <c r="F11" s="49"/>
      <c r="G11" s="49"/>
      <c r="H11" s="49"/>
      <c r="I11" s="49"/>
      <c r="J11" s="49"/>
      <c r="K11" s="49"/>
    </row>
    <row r="12" spans="1:13" x14ac:dyDescent="0.25">
      <c r="A12" s="49"/>
      <c r="B12" s="50"/>
      <c r="C12" s="50"/>
      <c r="D12" s="50"/>
      <c r="E12" s="50"/>
      <c r="F12" s="49"/>
      <c r="G12" s="49"/>
      <c r="H12" s="49"/>
      <c r="I12" s="49"/>
      <c r="J12" s="49"/>
      <c r="K12" s="49"/>
    </row>
    <row r="13" spans="1:13" ht="19.5" customHeight="1" x14ac:dyDescent="0.25">
      <c r="A13" s="49"/>
      <c r="B13" s="1723" t="s">
        <v>178</v>
      </c>
      <c r="C13" s="1724"/>
      <c r="D13" s="1724"/>
      <c r="E13" s="1724"/>
      <c r="F13" s="442" t="s">
        <v>152</v>
      </c>
      <c r="G13" s="442" t="s">
        <v>53</v>
      </c>
      <c r="H13" s="90" t="s">
        <v>492</v>
      </c>
      <c r="I13" s="49"/>
      <c r="J13" s="49"/>
      <c r="K13" s="49"/>
    </row>
    <row r="14" spans="1:13" ht="28.5" customHeight="1" x14ac:dyDescent="0.25">
      <c r="A14" s="49"/>
      <c r="B14" s="1808" t="s">
        <v>1597</v>
      </c>
      <c r="C14" s="1809"/>
      <c r="D14" s="1809"/>
      <c r="E14" s="1810"/>
      <c r="F14" s="55">
        <v>2</v>
      </c>
      <c r="G14" s="55" t="str">
        <f>C38</f>
        <v/>
      </c>
      <c r="H14" s="55" t="str">
        <f>C39</f>
        <v/>
      </c>
      <c r="I14" s="49"/>
      <c r="J14" s="49"/>
      <c r="K14" s="49"/>
    </row>
    <row r="15" spans="1:13" ht="28.5" customHeight="1" x14ac:dyDescent="0.25">
      <c r="A15" s="49"/>
      <c r="B15" s="1808" t="s">
        <v>1598</v>
      </c>
      <c r="C15" s="1809" t="s">
        <v>98</v>
      </c>
      <c r="D15" s="1809" t="s">
        <v>98</v>
      </c>
      <c r="E15" s="1810" t="s">
        <v>98</v>
      </c>
      <c r="F15" s="55">
        <v>2</v>
      </c>
      <c r="G15" s="55" t="str">
        <f>C72</f>
        <v/>
      </c>
      <c r="H15" s="55" t="str">
        <f>C73</f>
        <v/>
      </c>
      <c r="I15" s="49"/>
      <c r="J15" s="49"/>
      <c r="K15" s="49"/>
    </row>
    <row r="16" spans="1:13" ht="16.5" customHeight="1" x14ac:dyDescent="0.25">
      <c r="A16" s="50"/>
      <c r="B16" s="50"/>
      <c r="C16" s="50"/>
      <c r="D16" s="50"/>
      <c r="E16" s="50"/>
      <c r="F16" s="49"/>
      <c r="G16" s="49"/>
      <c r="H16" s="49"/>
      <c r="I16" s="49"/>
      <c r="J16" s="49"/>
      <c r="K16" s="49"/>
    </row>
    <row r="17" spans="1:13" ht="18" customHeight="1" x14ac:dyDescent="0.25">
      <c r="A17" s="1591" t="s">
        <v>367</v>
      </c>
      <c r="B17" s="1591"/>
      <c r="C17" s="1591"/>
      <c r="D17" s="1591"/>
      <c r="E17" s="1591"/>
      <c r="F17" s="1591"/>
      <c r="G17" s="1591"/>
      <c r="H17" s="1591"/>
      <c r="I17" s="1591"/>
      <c r="J17" s="1591"/>
      <c r="K17" s="1591"/>
    </row>
    <row r="18" spans="1:13" ht="15" customHeight="1" x14ac:dyDescent="0.25">
      <c r="A18" s="197"/>
      <c r="B18" s="197"/>
      <c r="C18" s="197"/>
      <c r="D18" s="197"/>
      <c r="E18" s="197"/>
      <c r="F18" s="197"/>
      <c r="G18" s="197"/>
      <c r="H18" s="197"/>
      <c r="I18" s="197"/>
      <c r="J18" s="197"/>
      <c r="K18" s="197"/>
      <c r="M18" s="80"/>
    </row>
    <row r="19" spans="1:13" ht="16.5" customHeight="1" x14ac:dyDescent="0.25">
      <c r="A19" s="1592" t="s">
        <v>245</v>
      </c>
      <c r="B19" s="1592"/>
      <c r="C19" s="1592"/>
      <c r="D19" s="197"/>
      <c r="E19" s="197"/>
      <c r="F19" s="197"/>
      <c r="G19" s="197"/>
      <c r="H19" s="197"/>
      <c r="I19" s="197"/>
      <c r="J19" s="197"/>
      <c r="K19" s="197"/>
      <c r="M19" s="80"/>
    </row>
    <row r="20" spans="1:13" ht="15" customHeight="1" x14ac:dyDescent="0.25">
      <c r="A20" s="197"/>
      <c r="B20" s="197"/>
      <c r="C20" s="197"/>
      <c r="D20" s="197"/>
      <c r="E20" s="197"/>
      <c r="F20" s="197"/>
      <c r="G20" s="197"/>
      <c r="H20" s="197"/>
      <c r="I20" s="197"/>
      <c r="J20" s="197"/>
      <c r="K20" s="197"/>
      <c r="M20" s="80"/>
    </row>
    <row r="21" spans="1:13" ht="15" customHeight="1" x14ac:dyDescent="0.25">
      <c r="A21" s="197"/>
      <c r="B21" s="619" t="s">
        <v>1519</v>
      </c>
      <c r="C21" s="197"/>
      <c r="D21" s="197"/>
      <c r="E21" s="197"/>
      <c r="F21" s="197"/>
      <c r="G21" s="197"/>
      <c r="H21" s="197"/>
      <c r="I21" s="197"/>
      <c r="J21" s="197"/>
      <c r="K21" s="197"/>
      <c r="M21" s="80"/>
    </row>
    <row r="22" spans="1:13" ht="15" customHeight="1" x14ac:dyDescent="0.25">
      <c r="A22" s="197"/>
      <c r="B22" s="197"/>
      <c r="C22" s="197"/>
      <c r="D22" s="197"/>
      <c r="E22" s="197"/>
      <c r="F22" s="197"/>
      <c r="G22" s="197"/>
      <c r="H22" s="197"/>
      <c r="I22" s="197"/>
      <c r="J22" s="197"/>
      <c r="K22" s="197"/>
      <c r="M22" s="80"/>
    </row>
    <row r="23" spans="1:13" ht="6.75" customHeight="1" x14ac:dyDescent="0.25">
      <c r="A23" s="197"/>
      <c r="B23" s="197"/>
      <c r="C23" s="197"/>
      <c r="D23" s="197"/>
      <c r="E23" s="197"/>
      <c r="F23" s="197"/>
      <c r="G23" s="197"/>
      <c r="H23" s="197"/>
      <c r="I23" s="197"/>
      <c r="J23" s="197"/>
      <c r="K23" s="197"/>
    </row>
    <row r="24" spans="1:13" ht="15" customHeight="1" x14ac:dyDescent="0.25">
      <c r="A24" s="197"/>
      <c r="B24" s="578" t="s">
        <v>1107</v>
      </c>
      <c r="C24" s="197"/>
      <c r="D24" s="197"/>
      <c r="E24" s="197"/>
      <c r="F24" s="197"/>
      <c r="G24" s="197"/>
      <c r="H24" s="197"/>
      <c r="I24" s="197"/>
      <c r="J24" s="197"/>
      <c r="K24" s="197"/>
    </row>
    <row r="25" spans="1:13" ht="9.75" customHeight="1" x14ac:dyDescent="0.25">
      <c r="A25" s="197"/>
      <c r="B25" s="578"/>
      <c r="C25" s="197"/>
      <c r="D25" s="197"/>
      <c r="E25" s="197"/>
      <c r="F25" s="197"/>
      <c r="G25" s="197"/>
      <c r="H25" s="197"/>
      <c r="I25" s="197"/>
      <c r="J25" s="197"/>
      <c r="K25" s="197"/>
    </row>
    <row r="26" spans="1:13" ht="18" customHeight="1" x14ac:dyDescent="0.25">
      <c r="A26" s="197"/>
      <c r="B26" s="1811" t="s">
        <v>1517</v>
      </c>
      <c r="C26" s="1811"/>
      <c r="D26" s="1811"/>
      <c r="E26" s="1811"/>
      <c r="F26" s="847" t="s">
        <v>124</v>
      </c>
      <c r="G26" s="199"/>
      <c r="H26" s="197"/>
      <c r="I26" s="197"/>
      <c r="J26" s="197"/>
      <c r="K26" s="197"/>
      <c r="M26" s="38" t="b">
        <v>0</v>
      </c>
    </row>
    <row r="27" spans="1:13" ht="18" customHeight="1" x14ac:dyDescent="0.25">
      <c r="A27" s="197"/>
      <c r="B27" s="1811" t="s">
        <v>1520</v>
      </c>
      <c r="C27" s="1811"/>
      <c r="D27" s="1811"/>
      <c r="E27" s="1811"/>
      <c r="F27" s="863"/>
      <c r="G27" s="197"/>
      <c r="H27" s="197"/>
      <c r="I27" s="197"/>
      <c r="J27" s="197"/>
      <c r="K27" s="197"/>
    </row>
    <row r="28" spans="1:13" ht="18" customHeight="1" x14ac:dyDescent="0.25">
      <c r="A28" s="197"/>
      <c r="B28" s="197"/>
      <c r="C28" s="197"/>
      <c r="D28" s="197"/>
      <c r="E28" s="197"/>
      <c r="F28" s="197"/>
      <c r="G28" s="197"/>
      <c r="H28" s="197"/>
      <c r="I28" s="197"/>
      <c r="J28" s="197"/>
      <c r="K28" s="197"/>
    </row>
    <row r="29" spans="1:13" ht="18" customHeight="1" x14ac:dyDescent="0.25">
      <c r="A29" s="197"/>
      <c r="B29" s="1623" t="s">
        <v>1516</v>
      </c>
      <c r="C29" s="1623"/>
      <c r="D29" s="193" t="str">
        <f>IF(AND(F27&lt;&gt;"",F26="Yes"),"Yes","No")</f>
        <v>No</v>
      </c>
      <c r="E29" s="197"/>
      <c r="F29" s="197"/>
      <c r="G29" s="197"/>
      <c r="H29" s="197"/>
      <c r="I29" s="197"/>
      <c r="J29" s="197"/>
      <c r="K29" s="197"/>
    </row>
    <row r="30" spans="1:13" ht="18" customHeight="1" x14ac:dyDescent="0.25">
      <c r="A30" s="197"/>
      <c r="B30" s="197"/>
      <c r="C30" s="197"/>
      <c r="D30" s="197"/>
      <c r="E30" s="197"/>
      <c r="F30" s="197"/>
      <c r="G30" s="197"/>
      <c r="H30" s="197"/>
      <c r="I30" s="197"/>
      <c r="J30" s="197"/>
      <c r="K30" s="197"/>
    </row>
    <row r="31" spans="1:13" ht="16.5" customHeight="1" x14ac:dyDescent="0.25">
      <c r="A31" s="1592" t="s">
        <v>186</v>
      </c>
      <c r="B31" s="1592"/>
      <c r="C31" s="1592"/>
      <c r="D31" s="190"/>
      <c r="E31" s="190"/>
      <c r="F31" s="190"/>
      <c r="G31" s="190"/>
      <c r="H31" s="190"/>
      <c r="I31" s="190"/>
      <c r="J31" s="190"/>
      <c r="K31" s="190"/>
    </row>
    <row r="32" spans="1:13" ht="12" customHeight="1" x14ac:dyDescent="0.25">
      <c r="A32" s="190"/>
      <c r="B32" s="197"/>
      <c r="C32" s="197"/>
      <c r="D32" s="197"/>
      <c r="E32" s="190"/>
      <c r="F32" s="190"/>
      <c r="G32" s="190"/>
      <c r="H32" s="190"/>
      <c r="I32" s="190"/>
      <c r="J32" s="190"/>
      <c r="K32" s="190"/>
    </row>
    <row r="33" spans="1:11" ht="18" customHeight="1" x14ac:dyDescent="0.25">
      <c r="A33" s="190"/>
      <c r="B33" s="1582" t="s">
        <v>1739</v>
      </c>
      <c r="C33" s="1583"/>
      <c r="D33" s="1583"/>
      <c r="E33" s="1583"/>
      <c r="F33" s="1583"/>
      <c r="G33" s="934" t="s">
        <v>1737</v>
      </c>
      <c r="H33" s="1589" t="s">
        <v>1738</v>
      </c>
      <c r="I33" s="1590"/>
      <c r="J33" s="190"/>
      <c r="K33" s="190"/>
    </row>
    <row r="34" spans="1:11" ht="18" customHeight="1" x14ac:dyDescent="0.25">
      <c r="A34" s="190"/>
      <c r="B34" s="1576" t="s">
        <v>1548</v>
      </c>
      <c r="C34" s="1577"/>
      <c r="D34" s="1577"/>
      <c r="E34" s="1577"/>
      <c r="F34" s="1578"/>
      <c r="G34" s="565" t="s">
        <v>124</v>
      </c>
      <c r="H34" s="1587"/>
      <c r="I34" s="1588"/>
      <c r="J34" s="190"/>
      <c r="K34" s="190"/>
    </row>
    <row r="35" spans="1:11" ht="18" customHeight="1" x14ac:dyDescent="0.25">
      <c r="A35" s="190"/>
      <c r="B35" s="197"/>
      <c r="C35" s="197"/>
      <c r="D35" s="197"/>
      <c r="E35" s="190"/>
      <c r="F35" s="190"/>
      <c r="G35" s="190"/>
      <c r="H35" s="190"/>
      <c r="I35" s="190"/>
      <c r="J35" s="190"/>
      <c r="K35" s="190"/>
    </row>
    <row r="36" spans="1:11" ht="16.5" customHeight="1" x14ac:dyDescent="0.25">
      <c r="A36" s="1592" t="s">
        <v>22</v>
      </c>
      <c r="B36" s="1592"/>
      <c r="C36" s="1592"/>
      <c r="D36" s="197"/>
      <c r="E36" s="190"/>
      <c r="F36" s="190"/>
      <c r="G36" s="190"/>
      <c r="H36" s="190"/>
      <c r="I36" s="190"/>
      <c r="J36" s="190"/>
      <c r="K36" s="190"/>
    </row>
    <row r="37" spans="1:11" ht="15" customHeight="1" x14ac:dyDescent="0.25">
      <c r="A37" s="197"/>
      <c r="B37" s="197"/>
      <c r="C37" s="197"/>
      <c r="D37" s="197"/>
      <c r="E37" s="190"/>
      <c r="F37" s="190"/>
      <c r="G37" s="190"/>
      <c r="H37" s="190"/>
      <c r="I37" s="190"/>
      <c r="J37" s="190"/>
      <c r="K37" s="190"/>
    </row>
    <row r="38" spans="1:11" ht="18" customHeight="1" x14ac:dyDescent="0.25">
      <c r="A38" s="197"/>
      <c r="B38" s="171" t="s">
        <v>53</v>
      </c>
      <c r="C38" s="7" t="str">
        <f>IF(D11="Option A: Solar water heating",IF(D29="Yes",2,0),"")</f>
        <v/>
      </c>
      <c r="D38" s="197"/>
      <c r="E38" s="190"/>
      <c r="F38" s="190"/>
      <c r="G38" s="190"/>
      <c r="H38" s="190"/>
      <c r="I38" s="190"/>
      <c r="J38" s="190"/>
      <c r="K38" s="190"/>
    </row>
    <row r="39" spans="1:11" ht="18" customHeight="1" x14ac:dyDescent="0.25">
      <c r="A39" s="197"/>
      <c r="B39" s="171" t="s">
        <v>492</v>
      </c>
      <c r="C39" s="7" t="str">
        <f>IF(D11="Option A: Solar water heating",IF(AND(G34="Submitted",C38&gt;0),"Yes","No"),"")</f>
        <v/>
      </c>
      <c r="D39" s="197"/>
      <c r="E39" s="190"/>
      <c r="F39" s="190"/>
      <c r="G39" s="190"/>
      <c r="H39" s="190"/>
      <c r="I39" s="190"/>
      <c r="J39" s="190"/>
      <c r="K39" s="190"/>
    </row>
    <row r="40" spans="1:11" ht="18" customHeight="1" x14ac:dyDescent="0.25">
      <c r="A40" s="197"/>
      <c r="B40" s="197"/>
      <c r="C40" s="197"/>
      <c r="D40" s="197"/>
      <c r="E40" s="190"/>
      <c r="F40" s="190"/>
      <c r="G40" s="190"/>
      <c r="H40" s="190"/>
      <c r="I40" s="190"/>
      <c r="J40" s="190"/>
      <c r="K40" s="190"/>
    </row>
    <row r="41" spans="1:11" ht="18" customHeight="1" x14ac:dyDescent="0.25">
      <c r="A41" s="1591" t="s">
        <v>497</v>
      </c>
      <c r="B41" s="1591"/>
      <c r="C41" s="1591"/>
      <c r="D41" s="1591"/>
      <c r="E41" s="1591"/>
      <c r="F41" s="1591"/>
      <c r="G41" s="1591"/>
      <c r="H41" s="1591"/>
      <c r="I41" s="1591"/>
      <c r="J41" s="1591"/>
      <c r="K41" s="1591"/>
    </row>
    <row r="42" spans="1:11" ht="15" customHeight="1" x14ac:dyDescent="0.25">
      <c r="A42" s="200"/>
      <c r="B42" s="200"/>
      <c r="C42" s="200"/>
      <c r="D42" s="200"/>
      <c r="E42" s="200"/>
      <c r="F42" s="200"/>
      <c r="G42" s="200"/>
      <c r="H42" s="200"/>
      <c r="I42" s="200"/>
      <c r="J42" s="200"/>
      <c r="K42" s="200"/>
    </row>
    <row r="43" spans="1:11" ht="16.5" customHeight="1" x14ac:dyDescent="0.25">
      <c r="A43" s="1592" t="s">
        <v>245</v>
      </c>
      <c r="B43" s="1592"/>
      <c r="C43" s="1592"/>
      <c r="D43" s="200"/>
      <c r="E43" s="200"/>
      <c r="F43" s="200"/>
      <c r="G43" s="200"/>
      <c r="H43" s="200"/>
      <c r="I43" s="200"/>
      <c r="J43" s="200"/>
      <c r="K43" s="200"/>
    </row>
    <row r="44" spans="1:11" ht="15" customHeight="1" x14ac:dyDescent="0.25">
      <c r="A44" s="200"/>
      <c r="B44" s="200"/>
      <c r="C44" s="200"/>
      <c r="D44" s="200"/>
      <c r="E44" s="200"/>
      <c r="F44" s="200"/>
      <c r="G44" s="200"/>
      <c r="H44" s="200"/>
      <c r="I44" s="200"/>
      <c r="J44" s="200"/>
      <c r="K44" s="200"/>
    </row>
    <row r="45" spans="1:11" ht="15" customHeight="1" x14ac:dyDescent="0.25">
      <c r="A45" s="200"/>
      <c r="B45" s="622" t="s">
        <v>1274</v>
      </c>
      <c r="C45" s="200"/>
      <c r="D45" s="200"/>
      <c r="E45" s="200"/>
      <c r="F45" s="200"/>
      <c r="G45" s="200"/>
      <c r="H45" s="200"/>
      <c r="I45" s="200"/>
      <c r="J45" s="200"/>
      <c r="K45" s="200"/>
    </row>
    <row r="46" spans="1:11" ht="17.25" customHeight="1" x14ac:dyDescent="0.25">
      <c r="A46" s="200"/>
      <c r="B46" s="200"/>
      <c r="C46" s="200"/>
      <c r="D46" s="200"/>
      <c r="E46" s="200"/>
      <c r="F46" s="200"/>
      <c r="G46" s="200"/>
      <c r="H46" s="200"/>
      <c r="I46" s="200"/>
      <c r="J46" s="200"/>
      <c r="K46" s="200"/>
    </row>
    <row r="47" spans="1:11" ht="16.5" customHeight="1" x14ac:dyDescent="0.25">
      <c r="A47" s="1592" t="s">
        <v>23</v>
      </c>
      <c r="B47" s="1592"/>
      <c r="C47" s="1592"/>
      <c r="D47" s="200"/>
      <c r="E47" s="200"/>
      <c r="F47" s="200"/>
      <c r="G47" s="200"/>
      <c r="H47" s="200"/>
      <c r="I47" s="200"/>
      <c r="J47" s="200"/>
      <c r="K47" s="200"/>
    </row>
    <row r="48" spans="1:11" x14ac:dyDescent="0.25">
      <c r="A48" s="200"/>
      <c r="B48" s="200"/>
      <c r="C48" s="200"/>
      <c r="D48" s="200"/>
      <c r="E48" s="200"/>
      <c r="F48" s="200"/>
      <c r="G48" s="200"/>
      <c r="H48" s="200"/>
      <c r="I48" s="200"/>
      <c r="J48" s="200"/>
      <c r="K48" s="200"/>
    </row>
    <row r="49" spans="1:16" x14ac:dyDescent="0.25">
      <c r="A49" s="200"/>
      <c r="B49" s="591" t="s">
        <v>1163</v>
      </c>
      <c r="C49" s="200"/>
      <c r="D49" s="200"/>
      <c r="E49" s="200"/>
      <c r="F49" s="200"/>
      <c r="G49" s="200"/>
      <c r="H49" s="200"/>
      <c r="I49" s="200"/>
      <c r="J49" s="200"/>
      <c r="K49" s="200"/>
    </row>
    <row r="50" spans="1:16" ht="11.25" customHeight="1" x14ac:dyDescent="0.25">
      <c r="A50" s="200"/>
      <c r="B50" s="200"/>
      <c r="C50" s="200"/>
      <c r="D50" s="200"/>
      <c r="E50" s="200"/>
      <c r="F50" s="200"/>
      <c r="G50" s="200"/>
      <c r="H50" s="200"/>
      <c r="I50" s="200"/>
      <c r="J50" s="200"/>
      <c r="K50" s="200"/>
    </row>
    <row r="51" spans="1:16" ht="18" customHeight="1" x14ac:dyDescent="0.25">
      <c r="A51" s="200"/>
      <c r="B51" s="1811" t="s">
        <v>1518</v>
      </c>
      <c r="C51" s="1811"/>
      <c r="D51" s="1811"/>
      <c r="E51" s="1811"/>
      <c r="F51" s="880" t="s">
        <v>3</v>
      </c>
      <c r="G51" s="200"/>
      <c r="H51" s="200"/>
      <c r="I51" s="200"/>
      <c r="J51" s="200"/>
      <c r="K51" s="200"/>
      <c r="M51" s="80" t="b">
        <v>0</v>
      </c>
    </row>
    <row r="52" spans="1:16" ht="14.25" customHeight="1" x14ac:dyDescent="0.25">
      <c r="A52" s="200"/>
      <c r="B52" s="200"/>
      <c r="C52" s="200"/>
      <c r="D52" s="200"/>
      <c r="E52" s="200"/>
      <c r="F52" s="200"/>
      <c r="G52" s="200"/>
      <c r="H52" s="200"/>
      <c r="I52" s="200"/>
      <c r="J52" s="200"/>
      <c r="K52" s="200"/>
    </row>
    <row r="53" spans="1:16" x14ac:dyDescent="0.25">
      <c r="A53" s="200"/>
      <c r="B53" s="630" t="s">
        <v>499</v>
      </c>
      <c r="C53" s="200"/>
      <c r="D53" s="200"/>
      <c r="E53" s="200"/>
      <c r="F53" s="200"/>
      <c r="G53" s="200"/>
      <c r="H53" s="200"/>
      <c r="I53" s="200"/>
      <c r="J53" s="200"/>
      <c r="K53" s="200"/>
    </row>
    <row r="54" spans="1:16" ht="15" customHeight="1" x14ac:dyDescent="0.25">
      <c r="A54" s="200"/>
      <c r="B54" s="626" t="s">
        <v>498</v>
      </c>
      <c r="C54" s="200"/>
      <c r="D54" s="200"/>
      <c r="E54" s="200"/>
      <c r="F54" s="200"/>
      <c r="G54" s="200"/>
      <c r="H54" s="200"/>
      <c r="I54" s="200"/>
      <c r="J54" s="200"/>
      <c r="K54" s="200"/>
      <c r="N54" s="1807" t="s">
        <v>354</v>
      </c>
      <c r="O54" s="1807"/>
      <c r="P54" s="1812" t="s">
        <v>360</v>
      </c>
    </row>
    <row r="55" spans="1:16" ht="12" customHeight="1" x14ac:dyDescent="0.25">
      <c r="A55" s="200"/>
      <c r="B55" s="200"/>
      <c r="C55" s="200"/>
      <c r="D55" s="200"/>
      <c r="E55" s="200"/>
      <c r="F55" s="200"/>
      <c r="G55" s="200"/>
      <c r="H55" s="200"/>
      <c r="I55" s="200"/>
      <c r="J55" s="200"/>
      <c r="K55" s="200"/>
      <c r="N55" s="1807"/>
      <c r="O55" s="1807"/>
      <c r="P55" s="1813"/>
    </row>
    <row r="56" spans="1:16" x14ac:dyDescent="0.25">
      <c r="A56" s="200"/>
      <c r="B56" s="591" t="s">
        <v>1521</v>
      </c>
      <c r="C56" s="200"/>
      <c r="D56" s="200"/>
      <c r="E56" s="200"/>
      <c r="F56" s="200"/>
      <c r="G56" s="200"/>
      <c r="H56" s="200"/>
      <c r="I56" s="200"/>
      <c r="J56" s="200"/>
      <c r="K56" s="200"/>
      <c r="N56" s="848"/>
      <c r="O56" s="848"/>
      <c r="P56" s="849"/>
    </row>
    <row r="57" spans="1:16" ht="12" customHeight="1" x14ac:dyDescent="0.25">
      <c r="A57" s="200"/>
      <c r="B57" s="200"/>
      <c r="C57" s="200"/>
      <c r="D57" s="200"/>
      <c r="E57" s="200"/>
      <c r="F57" s="200"/>
      <c r="G57" s="200"/>
      <c r="H57" s="200"/>
      <c r="I57" s="200"/>
      <c r="J57" s="200"/>
      <c r="K57" s="200"/>
      <c r="N57" s="848"/>
      <c r="O57" s="848"/>
      <c r="P57" s="849"/>
    </row>
    <row r="58" spans="1:16" ht="28.5" customHeight="1" x14ac:dyDescent="0.25">
      <c r="A58" s="200"/>
      <c r="B58" s="371" t="s">
        <v>353</v>
      </c>
      <c r="C58" s="390" t="s">
        <v>354</v>
      </c>
      <c r="D58" s="372" t="s">
        <v>26</v>
      </c>
      <c r="E58" s="372" t="s">
        <v>356</v>
      </c>
      <c r="F58" s="372" t="s">
        <v>355</v>
      </c>
      <c r="G58" s="373" t="s">
        <v>172</v>
      </c>
      <c r="H58" s="200"/>
      <c r="I58" s="200"/>
      <c r="J58" s="200"/>
      <c r="K58" s="200"/>
      <c r="M58" s="50"/>
      <c r="N58" s="1806" t="s">
        <v>357</v>
      </c>
      <c r="O58" s="1806"/>
      <c r="P58" s="76">
        <v>3</v>
      </c>
    </row>
    <row r="59" spans="1:16" x14ac:dyDescent="0.25">
      <c r="A59" s="200"/>
      <c r="B59" s="184"/>
      <c r="C59" s="184" t="s">
        <v>124</v>
      </c>
      <c r="D59" s="184"/>
      <c r="E59" s="184"/>
      <c r="F59" s="391" t="str">
        <f>IFERROR(VLOOKUP(C59,N58:P62,3,FALSE),"")</f>
        <v/>
      </c>
      <c r="G59" s="391" t="str">
        <f>IF(F59="","",IF(E59&gt;=F59,"Yes","No"))</f>
        <v/>
      </c>
      <c r="H59" s="200"/>
      <c r="I59" s="200"/>
      <c r="J59" s="200"/>
      <c r="K59" s="200"/>
      <c r="M59" s="50"/>
      <c r="N59" s="1806" t="s">
        <v>358</v>
      </c>
      <c r="O59" s="1806"/>
      <c r="P59" s="76">
        <v>3.5</v>
      </c>
    </row>
    <row r="60" spans="1:16" x14ac:dyDescent="0.25">
      <c r="A60" s="200"/>
      <c r="B60" s="166"/>
      <c r="C60" s="850" t="s">
        <v>124</v>
      </c>
      <c r="D60" s="166"/>
      <c r="E60" s="166"/>
      <c r="F60" s="47" t="str">
        <f>IFERROR(VLOOKUP(C60,N58:P62,3,FALSE),"")</f>
        <v/>
      </c>
      <c r="G60" s="47" t="str">
        <f>IF(F60="","",IF(E60&gt;=F60,"Yes","No"))</f>
        <v/>
      </c>
      <c r="H60" s="200"/>
      <c r="I60" s="200"/>
      <c r="J60" s="200"/>
      <c r="K60" s="200"/>
      <c r="M60" s="50"/>
      <c r="N60" s="1814" t="s">
        <v>359</v>
      </c>
      <c r="O60" s="1814"/>
      <c r="P60" s="1814"/>
    </row>
    <row r="61" spans="1:16" ht="18" customHeight="1" x14ac:dyDescent="0.25">
      <c r="A61" s="200"/>
      <c r="B61" s="200"/>
      <c r="C61" s="200"/>
      <c r="D61" s="200"/>
      <c r="E61" s="200"/>
      <c r="F61" s="200"/>
      <c r="G61" s="200"/>
      <c r="H61" s="200"/>
      <c r="I61" s="200"/>
      <c r="J61" s="200"/>
      <c r="K61" s="200"/>
      <c r="N61" s="1806" t="s">
        <v>361</v>
      </c>
      <c r="O61" s="1806"/>
      <c r="P61" s="76">
        <v>3</v>
      </c>
    </row>
    <row r="62" spans="1:16" ht="18" customHeight="1" x14ac:dyDescent="0.25">
      <c r="A62" s="200"/>
      <c r="B62" s="1623" t="s">
        <v>1564</v>
      </c>
      <c r="C62" s="1623"/>
      <c r="D62" s="193" t="str">
        <f>IF(F51="Yes",IF(OR(G59="No",G60="No"),"No",IF(OR(G59="Yes",G60="Yes"),"Yes","")),"")</f>
        <v/>
      </c>
      <c r="E62" s="200"/>
      <c r="F62" s="200"/>
      <c r="G62" s="200"/>
      <c r="H62" s="200"/>
      <c r="I62" s="200"/>
      <c r="J62" s="200"/>
      <c r="K62" s="200"/>
      <c r="N62" s="1806" t="s">
        <v>362</v>
      </c>
      <c r="O62" s="1806"/>
      <c r="P62" s="76">
        <v>3.5</v>
      </c>
    </row>
    <row r="63" spans="1:16" ht="19.5" customHeight="1" x14ac:dyDescent="0.25">
      <c r="A63" s="200"/>
      <c r="B63" s="200"/>
      <c r="C63" s="200"/>
      <c r="D63" s="200"/>
      <c r="E63" s="200"/>
      <c r="F63" s="200"/>
      <c r="G63" s="200"/>
      <c r="H63" s="200"/>
      <c r="I63" s="200"/>
      <c r="J63" s="200"/>
      <c r="K63" s="200"/>
    </row>
    <row r="64" spans="1:16" ht="16.5" customHeight="1" x14ac:dyDescent="0.25">
      <c r="A64" s="1592" t="s">
        <v>186</v>
      </c>
      <c r="B64" s="1592"/>
      <c r="C64" s="1592"/>
      <c r="D64" s="200"/>
      <c r="E64" s="200"/>
      <c r="F64" s="200"/>
      <c r="G64" s="200"/>
      <c r="H64" s="200"/>
      <c r="I64" s="200"/>
      <c r="J64" s="200"/>
      <c r="K64" s="200"/>
    </row>
    <row r="65" spans="1:12" x14ac:dyDescent="0.25">
      <c r="A65" s="200"/>
      <c r="B65" s="200"/>
      <c r="C65" s="200"/>
      <c r="D65" s="200"/>
      <c r="E65" s="200"/>
      <c r="F65" s="200"/>
      <c r="G65" s="200"/>
      <c r="H65" s="200"/>
      <c r="I65" s="200"/>
      <c r="J65" s="200"/>
      <c r="K65" s="200"/>
    </row>
    <row r="66" spans="1:12" ht="18" customHeight="1" x14ac:dyDescent="0.25">
      <c r="A66" s="200"/>
      <c r="B66" s="1582" t="s">
        <v>1739</v>
      </c>
      <c r="C66" s="1583"/>
      <c r="D66" s="1583"/>
      <c r="E66" s="1583"/>
      <c r="F66" s="1583"/>
      <c r="G66" s="934" t="s">
        <v>1737</v>
      </c>
      <c r="H66" s="1589" t="s">
        <v>1738</v>
      </c>
      <c r="I66" s="1590"/>
      <c r="J66" s="200"/>
      <c r="K66" s="200"/>
    </row>
    <row r="67" spans="1:12" ht="18" customHeight="1" x14ac:dyDescent="0.25">
      <c r="A67" s="200"/>
      <c r="B67" s="1576" t="s">
        <v>1067</v>
      </c>
      <c r="C67" s="1577"/>
      <c r="D67" s="1577"/>
      <c r="E67" s="1577"/>
      <c r="F67" s="1578"/>
      <c r="G67" s="565" t="s">
        <v>124</v>
      </c>
      <c r="H67" s="1587"/>
      <c r="I67" s="1588"/>
      <c r="J67" s="200"/>
      <c r="K67" s="200"/>
    </row>
    <row r="68" spans="1:12" ht="18" customHeight="1" x14ac:dyDescent="0.25">
      <c r="A68" s="200"/>
      <c r="B68" s="1576" t="s">
        <v>1549</v>
      </c>
      <c r="C68" s="1577"/>
      <c r="D68" s="1577"/>
      <c r="E68" s="1577"/>
      <c r="F68" s="1578"/>
      <c r="G68" s="565" t="s">
        <v>124</v>
      </c>
      <c r="H68" s="1587"/>
      <c r="I68" s="1588"/>
      <c r="J68" s="200"/>
      <c r="K68" s="200"/>
    </row>
    <row r="69" spans="1:12" ht="18" customHeight="1" x14ac:dyDescent="0.25">
      <c r="A69" s="200"/>
      <c r="B69" s="200"/>
      <c r="C69" s="200"/>
      <c r="D69" s="200"/>
      <c r="E69" s="200"/>
      <c r="F69" s="200"/>
      <c r="G69" s="200"/>
      <c r="H69" s="200"/>
      <c r="I69" s="200"/>
      <c r="J69" s="200"/>
      <c r="K69" s="200"/>
    </row>
    <row r="70" spans="1:12" ht="16.5" customHeight="1" x14ac:dyDescent="0.25">
      <c r="A70" s="1592" t="s">
        <v>22</v>
      </c>
      <c r="B70" s="1592"/>
      <c r="C70" s="1592"/>
      <c r="D70" s="200"/>
      <c r="E70" s="200"/>
      <c r="F70" s="200"/>
      <c r="G70" s="200"/>
      <c r="H70" s="200"/>
      <c r="I70" s="200"/>
      <c r="J70" s="200"/>
      <c r="K70" s="200"/>
    </row>
    <row r="71" spans="1:12" ht="17.25" customHeight="1" x14ac:dyDescent="0.25">
      <c r="A71" s="200"/>
      <c r="B71" s="200"/>
      <c r="C71" s="200"/>
      <c r="D71" s="200"/>
      <c r="E71" s="200"/>
      <c r="F71" s="200"/>
      <c r="G71" s="200"/>
      <c r="H71" s="200"/>
      <c r="I71" s="200"/>
      <c r="J71" s="200"/>
      <c r="K71" s="200"/>
    </row>
    <row r="72" spans="1:12" ht="18" customHeight="1" x14ac:dyDescent="0.25">
      <c r="A72" s="200"/>
      <c r="B72" s="171" t="s">
        <v>493</v>
      </c>
      <c r="C72" s="7" t="str">
        <f>IF(D11="Option B: Heat pump water heating",IF(D62="Yes",2,0),"")</f>
        <v/>
      </c>
      <c r="D72" s="200"/>
      <c r="E72" s="200"/>
      <c r="F72" s="200"/>
      <c r="G72" s="200"/>
      <c r="H72" s="200"/>
      <c r="I72" s="200"/>
      <c r="J72" s="200"/>
      <c r="K72" s="200"/>
    </row>
    <row r="73" spans="1:12" ht="18" customHeight="1" x14ac:dyDescent="0.25">
      <c r="A73" s="200"/>
      <c r="B73" s="171" t="s">
        <v>492</v>
      </c>
      <c r="C73" s="7" t="str">
        <f>IF(D11="Option B: Heat pump water heating",IF(AND(G67="Submitted",G68="Submitted",C72&gt;0),"Yes","No"),"")</f>
        <v/>
      </c>
      <c r="D73" s="200"/>
      <c r="E73" s="200"/>
      <c r="F73" s="200"/>
      <c r="G73" s="200"/>
      <c r="H73" s="200"/>
      <c r="I73" s="200"/>
      <c r="J73" s="200"/>
      <c r="K73" s="200"/>
    </row>
    <row r="74" spans="1:12" x14ac:dyDescent="0.25">
      <c r="A74" s="200"/>
      <c r="B74" s="200"/>
      <c r="C74" s="200"/>
      <c r="D74" s="200"/>
      <c r="E74" s="200"/>
      <c r="F74" s="200"/>
      <c r="G74" s="200"/>
      <c r="H74" s="200"/>
      <c r="I74" s="200"/>
      <c r="J74" s="200"/>
      <c r="K74" s="200"/>
    </row>
    <row r="75" spans="1:12" x14ac:dyDescent="0.25">
      <c r="A75" s="200"/>
      <c r="B75" s="200"/>
      <c r="C75" s="200"/>
      <c r="D75" s="200"/>
      <c r="E75" s="200"/>
      <c r="F75" s="200"/>
      <c r="G75" s="200"/>
      <c r="H75" s="200"/>
      <c r="I75" s="200"/>
      <c r="J75" s="200"/>
      <c r="K75" s="200"/>
    </row>
    <row r="76" spans="1:12" hidden="1" x14ac:dyDescent="0.25">
      <c r="A76" s="50"/>
      <c r="B76" s="50"/>
      <c r="C76" s="50"/>
      <c r="D76" s="50"/>
      <c r="E76" s="50"/>
      <c r="F76" s="49"/>
      <c r="G76" s="49"/>
      <c r="H76" s="49"/>
      <c r="I76" s="49"/>
      <c r="J76" s="49"/>
      <c r="K76" s="49"/>
      <c r="L76" s="49"/>
    </row>
    <row r="77" spans="1:12" hidden="1" x14ac:dyDescent="0.25"/>
    <row r="78" spans="1:12" hidden="1" x14ac:dyDescent="0.25"/>
    <row r="79" spans="1:12" hidden="1" x14ac:dyDescent="0.25"/>
    <row r="80" spans="1:12"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sheetData>
  <sheetProtection algorithmName="SHA-512" hashValue="MkC3kyc6lM+LPZss/pi84hlEJr+1OvUl5lUaJzp3mjELIzsFHAk+/xjVDmkzb0rtxQUWSwasYraer0TN0PVS6Q==" saltValue="8ECgwzpu6cVOujQtDrHJwg==" spinCount="100000" sheet="1" objects="1" scenarios="1"/>
  <mergeCells count="40">
    <mergeCell ref="A1:K1"/>
    <mergeCell ref="P54:P55"/>
    <mergeCell ref="N58:O58"/>
    <mergeCell ref="N59:O59"/>
    <mergeCell ref="N60:P60"/>
    <mergeCell ref="H2:H4"/>
    <mergeCell ref="A5:K7"/>
    <mergeCell ref="B11:C11"/>
    <mergeCell ref="D11:E11"/>
    <mergeCell ref="B51:E51"/>
    <mergeCell ref="B29:C29"/>
    <mergeCell ref="A9:K9"/>
    <mergeCell ref="A17:K17"/>
    <mergeCell ref="A41:K41"/>
    <mergeCell ref="A19:C19"/>
    <mergeCell ref="B13:E13"/>
    <mergeCell ref="B14:E14"/>
    <mergeCell ref="B26:E26"/>
    <mergeCell ref="B15:E15"/>
    <mergeCell ref="B34:F34"/>
    <mergeCell ref="B27:E27"/>
    <mergeCell ref="A31:C31"/>
    <mergeCell ref="B33:F33"/>
    <mergeCell ref="A70:C70"/>
    <mergeCell ref="A64:C64"/>
    <mergeCell ref="A43:C43"/>
    <mergeCell ref="N61:O61"/>
    <mergeCell ref="N62:O62"/>
    <mergeCell ref="N54:O55"/>
    <mergeCell ref="A47:C47"/>
    <mergeCell ref="B68:F68"/>
    <mergeCell ref="B62:C62"/>
    <mergeCell ref="B67:F67"/>
    <mergeCell ref="H33:I33"/>
    <mergeCell ref="B66:F66"/>
    <mergeCell ref="H66:I66"/>
    <mergeCell ref="H67:I67"/>
    <mergeCell ref="H68:I68"/>
    <mergeCell ref="H34:I34"/>
    <mergeCell ref="A36:C36"/>
  </mergeCells>
  <dataValidations count="6">
    <dataValidation allowBlank="1" showInputMessage="1" showErrorMessage="1" prompt="As the conditions of air temperature and relative humidity are not indicated in the VBEEC, use COP values calculated at conditions which are the most representative of winter_x000a_conditions at the location of the project." sqref="E58:E60" xr:uid="{00000000-0002-0000-1000-000000000000}"/>
    <dataValidation type="list" allowBlank="1" showInputMessage="1" showErrorMessage="1" sqref="D11:E11" xr:uid="{00000000-0002-0000-1000-000001000000}">
      <formula1>"Select,Option A: Solar water heating, Option B: Heat pump water heating"</formula1>
    </dataValidation>
    <dataValidation type="list" allowBlank="1" showInputMessage="1" showErrorMessage="1" sqref="G34 G67:G68" xr:uid="{00000000-0002-0000-1000-000002000000}">
      <formula1>"Select,Submitted,Not submitted"</formula1>
    </dataValidation>
    <dataValidation type="list" allowBlank="1" showInputMessage="1" showErrorMessage="1" sqref="C59:C60" xr:uid="{00000000-0002-0000-1000-000003000000}">
      <formula1>"Select,Air-heated heat pumps, Water-heated heat pumps, Heat recovery AC - Hot water supply only, Heat recovery AC - AC and hot water supply"</formula1>
    </dataValidation>
    <dataValidation allowBlank="1" showInputMessage="1" showErrorMessage="1" prompt="Name of the equipment" sqref="B59:B60" xr:uid="{00000000-0002-0000-1000-000004000000}"/>
    <dataValidation type="list" allowBlank="1" showInputMessage="1" showErrorMessage="1" sqref="F26 F51" xr:uid="{00000000-0002-0000-1000-000005000000}">
      <formula1>"Select,Yes,No"</formula1>
    </dataValidation>
  </dataValidations>
  <hyperlinks>
    <hyperlink ref="J4" location="'E-7 Energy Monitors '!D3" tooltip="E-7" display="E-7" xr:uid="{00000000-0004-0000-1000-000000000000}"/>
    <hyperlink ref="I2" location="'E-1 Passive Design'!B3" tooltip="E-1" display="E-1" xr:uid="{00000000-0004-0000-1000-000001000000}"/>
    <hyperlink ref="I3" location="'E-2 Building Envelope'!B3" tooltip="E-2" display="E-2" xr:uid="{00000000-0004-0000-1000-000002000000}"/>
    <hyperlink ref="I4" location="'E-3 Home cooling'!B3" tooltip="E-3" display="E-3" xr:uid="{00000000-0004-0000-1000-000003000000}"/>
    <hyperlink ref="J3" location="'E-6 Energy Efficient Appliances'!E3" tooltip="E-6" display="E-6" xr:uid="{00000000-0004-0000-1000-000004000000}"/>
    <hyperlink ref="K2" location="'Energy BPC'!B3" tooltip="BPC" display="BPC" xr:uid="{00000000-0004-0000-1000-000005000000}"/>
    <hyperlink ref="J2" location="'E-4 Artificial Lighting'!D3" tooltip="E-4" display="E-4" xr:uid="{00000000-0004-0000-1000-000006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1">
    <tabColor rgb="FF58B527"/>
  </sheetPr>
  <dimension ref="A1:O122"/>
  <sheetViews>
    <sheetView showRowColHeaders="0" workbookViewId="0">
      <pane ySplit="8" topLeftCell="A9" activePane="bottomLeft" state="frozen"/>
      <selection activeCell="E9" sqref="E9:F9"/>
      <selection pane="bottomLeft" activeCell="B12" sqref="B12:E12"/>
    </sheetView>
  </sheetViews>
  <sheetFormatPr defaultColWidth="0" defaultRowHeight="15" zeroHeight="1" x14ac:dyDescent="0.25"/>
  <cols>
    <col min="1" max="1" width="3.5703125" style="38" customWidth="1"/>
    <col min="2" max="2" width="19.85546875" style="38" customWidth="1"/>
    <col min="3" max="3" width="17.7109375" style="38" customWidth="1"/>
    <col min="4" max="4" width="15.5703125" style="38" customWidth="1"/>
    <col min="5" max="5" width="21.28515625" style="38" customWidth="1"/>
    <col min="6" max="6" width="20.7109375" style="38" customWidth="1"/>
    <col min="7" max="7" width="19.42578125" style="38" customWidth="1"/>
    <col min="8" max="8" width="21.5703125" style="38" customWidth="1"/>
    <col min="9" max="12" width="9.28515625" style="38" customWidth="1"/>
    <col min="13" max="13" width="50.28515625" style="38" hidden="1" customWidth="1"/>
    <col min="14" max="14" width="9.140625" style="38" hidden="1" customWidth="1"/>
    <col min="15" max="15" width="35.28515625" style="38" hidden="1" customWidth="1"/>
    <col min="16" max="16384" width="9.140625" style="38" hidden="1"/>
  </cols>
  <sheetData>
    <row r="1" spans="1:13" ht="25.5" customHeight="1" x14ac:dyDescent="0.25">
      <c r="A1" s="1584" t="s">
        <v>1785</v>
      </c>
      <c r="B1" s="1584"/>
      <c r="C1" s="1584"/>
      <c r="D1" s="1584"/>
      <c r="E1" s="1584"/>
      <c r="F1" s="1584"/>
      <c r="G1" s="1584"/>
      <c r="H1" s="1584"/>
      <c r="I1" s="1584"/>
      <c r="J1" s="1584"/>
      <c r="K1" s="1584"/>
      <c r="L1" s="1584"/>
    </row>
    <row r="2" spans="1:13" ht="15" customHeight="1" x14ac:dyDescent="0.25">
      <c r="A2" s="50"/>
      <c r="B2" s="50"/>
      <c r="C2" s="50"/>
      <c r="D2" s="50"/>
      <c r="E2" s="50"/>
      <c r="F2" s="49"/>
      <c r="G2" s="1585" t="s">
        <v>512</v>
      </c>
      <c r="H2" s="1585"/>
      <c r="I2" s="1585"/>
      <c r="J2" s="1585"/>
      <c r="K2" s="212" t="s">
        <v>59</v>
      </c>
      <c r="L2" s="212" t="s">
        <v>70</v>
      </c>
    </row>
    <row r="3" spans="1:13" ht="15" customHeight="1" x14ac:dyDescent="0.25">
      <c r="A3" s="50"/>
      <c r="B3" s="50"/>
      <c r="C3" s="50"/>
      <c r="D3" s="50"/>
      <c r="E3" s="50"/>
      <c r="F3" s="49"/>
      <c r="G3" s="1585"/>
      <c r="H3" s="1585"/>
      <c r="I3" s="1585"/>
      <c r="J3" s="1585"/>
      <c r="K3" s="212" t="s">
        <v>63</v>
      </c>
      <c r="L3" s="212" t="s">
        <v>78</v>
      </c>
    </row>
    <row r="4" spans="1:13" ht="15" customHeight="1" x14ac:dyDescent="0.25">
      <c r="A4" s="50"/>
      <c r="B4" s="50"/>
      <c r="C4" s="50"/>
      <c r="D4" s="50"/>
      <c r="E4" s="50"/>
      <c r="F4" s="49"/>
      <c r="G4" s="1822"/>
      <c r="H4" s="1822"/>
      <c r="I4" s="1822"/>
      <c r="J4" s="1822"/>
      <c r="K4" s="212" t="s">
        <v>67</v>
      </c>
      <c r="L4" s="212" t="s">
        <v>76</v>
      </c>
    </row>
    <row r="5" spans="1:13" ht="21" customHeight="1" x14ac:dyDescent="0.25">
      <c r="A5" s="1823" t="s">
        <v>2574</v>
      </c>
      <c r="B5" s="1824"/>
      <c r="C5" s="1824"/>
      <c r="D5" s="1824"/>
      <c r="E5" s="1824"/>
      <c r="F5" s="1824"/>
      <c r="G5" s="1824"/>
      <c r="H5" s="1824"/>
      <c r="I5" s="1824"/>
      <c r="J5" s="1824"/>
      <c r="K5" s="1824"/>
      <c r="L5" s="1825"/>
    </row>
    <row r="6" spans="1:13" ht="21" customHeight="1" x14ac:dyDescent="0.25">
      <c r="A6" s="1826"/>
      <c r="B6" s="1604"/>
      <c r="C6" s="1604"/>
      <c r="D6" s="1604"/>
      <c r="E6" s="1604"/>
      <c r="F6" s="1604"/>
      <c r="G6" s="1604"/>
      <c r="H6" s="1604"/>
      <c r="I6" s="1604"/>
      <c r="J6" s="1604"/>
      <c r="K6" s="1604"/>
      <c r="L6" s="1827"/>
    </row>
    <row r="7" spans="1:13" ht="21" customHeight="1" x14ac:dyDescent="0.25">
      <c r="A7" s="1828"/>
      <c r="B7" s="1829"/>
      <c r="C7" s="1829"/>
      <c r="D7" s="1829"/>
      <c r="E7" s="1829"/>
      <c r="F7" s="1829"/>
      <c r="G7" s="1829"/>
      <c r="H7" s="1829"/>
      <c r="I7" s="1829"/>
      <c r="J7" s="1829"/>
      <c r="K7" s="1829"/>
      <c r="L7" s="1830"/>
    </row>
    <row r="8" spans="1:13" ht="12" customHeight="1" x14ac:dyDescent="0.25">
      <c r="A8" s="49"/>
      <c r="B8" s="50"/>
      <c r="C8" s="50"/>
      <c r="D8" s="50"/>
      <c r="E8" s="50"/>
      <c r="F8" s="49"/>
      <c r="G8" s="49"/>
      <c r="H8" s="49"/>
      <c r="I8" s="49"/>
      <c r="J8" s="49"/>
      <c r="K8" s="49"/>
      <c r="L8" s="49"/>
    </row>
    <row r="9" spans="1:13" ht="18" customHeight="1" x14ac:dyDescent="0.25">
      <c r="A9" s="1591" t="s">
        <v>177</v>
      </c>
      <c r="B9" s="1591"/>
      <c r="C9" s="1591"/>
      <c r="D9" s="1591"/>
      <c r="E9" s="1591"/>
      <c r="F9" s="1591"/>
      <c r="G9" s="1591"/>
      <c r="H9" s="1591"/>
      <c r="I9" s="1591"/>
      <c r="J9" s="1591"/>
      <c r="K9" s="1591"/>
      <c r="L9" s="1591"/>
    </row>
    <row r="10" spans="1:13" ht="16.5" customHeight="1" x14ac:dyDescent="0.25">
      <c r="A10" s="49"/>
      <c r="B10" s="50"/>
      <c r="C10" s="50"/>
      <c r="D10" s="50"/>
      <c r="E10" s="50"/>
      <c r="F10" s="49"/>
      <c r="G10" s="49"/>
      <c r="H10" s="49"/>
      <c r="I10" s="49"/>
      <c r="J10" s="49"/>
      <c r="K10" s="49"/>
      <c r="L10" s="49"/>
    </row>
    <row r="11" spans="1:13" ht="19.5" customHeight="1" x14ac:dyDescent="0.25">
      <c r="A11" s="49"/>
      <c r="B11" s="1609" t="s">
        <v>178</v>
      </c>
      <c r="C11" s="1610"/>
      <c r="D11" s="1610"/>
      <c r="E11" s="1610"/>
      <c r="F11" s="442" t="s">
        <v>152</v>
      </c>
      <c r="G11" s="442" t="s">
        <v>53</v>
      </c>
      <c r="H11" s="90" t="s">
        <v>492</v>
      </c>
      <c r="I11" s="49"/>
      <c r="J11" s="49"/>
      <c r="K11" s="49"/>
      <c r="L11" s="49"/>
    </row>
    <row r="12" spans="1:13" ht="39" customHeight="1" x14ac:dyDescent="0.25">
      <c r="A12" s="49"/>
      <c r="B12" s="1819" t="s">
        <v>2063</v>
      </c>
      <c r="C12" s="1820"/>
      <c r="D12" s="1820"/>
      <c r="E12" s="1821"/>
      <c r="F12" s="55">
        <v>2</v>
      </c>
      <c r="G12" s="55">
        <f>C72</f>
        <v>0</v>
      </c>
      <c r="H12" s="55" t="str">
        <f>C73</f>
        <v>No</v>
      </c>
      <c r="I12" s="49"/>
      <c r="J12" s="49"/>
      <c r="K12" s="49"/>
      <c r="L12" s="49"/>
      <c r="M12" s="38" t="str">
        <f>IF(G12&lt;&gt;0,IF(H12="No","No","Yes"),"Yes")</f>
        <v>Yes</v>
      </c>
    </row>
    <row r="13" spans="1:13" ht="30.75" customHeight="1" x14ac:dyDescent="0.25">
      <c r="A13" s="49"/>
      <c r="B13" s="1819" t="s">
        <v>2035</v>
      </c>
      <c r="C13" s="1820"/>
      <c r="D13" s="1820"/>
      <c r="E13" s="1821"/>
      <c r="F13" s="1090">
        <v>1</v>
      </c>
      <c r="G13" s="1090">
        <f>C118</f>
        <v>0</v>
      </c>
      <c r="H13" s="1090" t="str">
        <f>C119</f>
        <v>No</v>
      </c>
      <c r="I13" s="49"/>
      <c r="J13" s="49"/>
      <c r="K13" s="49"/>
      <c r="L13" s="49"/>
      <c r="M13" s="38" t="str">
        <f>IF(G13&lt;&gt;0,IF(H13="No","No","Yes"),"Yes")</f>
        <v>Yes</v>
      </c>
    </row>
    <row r="14" spans="1:13" ht="19.5" customHeight="1" x14ac:dyDescent="0.25">
      <c r="A14" s="49"/>
      <c r="B14" s="1613" t="s">
        <v>79</v>
      </c>
      <c r="C14" s="1748"/>
      <c r="D14" s="1748"/>
      <c r="E14" s="1749"/>
      <c r="F14" s="631">
        <v>2</v>
      </c>
      <c r="G14" s="631">
        <f>MIN(2,SUM(G12:G13))</f>
        <v>0</v>
      </c>
      <c r="H14" s="631" t="str">
        <f>IF(COUNTIF(H12:H13,"No")=2,"No",IF(COUNTIF(M12:M13,"Yes")=2,"Yes","No"))</f>
        <v>No</v>
      </c>
      <c r="I14" s="49"/>
      <c r="J14" s="49"/>
      <c r="K14" s="49"/>
      <c r="L14" s="49"/>
    </row>
    <row r="15" spans="1:13" ht="18" customHeight="1" x14ac:dyDescent="0.25">
      <c r="A15" s="50"/>
      <c r="B15" s="50"/>
      <c r="C15" s="50"/>
      <c r="D15" s="50"/>
      <c r="E15" s="50"/>
      <c r="F15" s="49"/>
      <c r="G15" s="49"/>
      <c r="H15" s="49"/>
      <c r="I15" s="49"/>
      <c r="J15" s="49"/>
      <c r="K15" s="49"/>
      <c r="L15" s="49"/>
    </row>
    <row r="16" spans="1:13" ht="18" customHeight="1" x14ac:dyDescent="0.25">
      <c r="A16" s="1591" t="s">
        <v>2036</v>
      </c>
      <c r="B16" s="1591"/>
      <c r="C16" s="1591"/>
      <c r="D16" s="1591"/>
      <c r="E16" s="1591"/>
      <c r="F16" s="1591"/>
      <c r="G16" s="1591"/>
      <c r="H16" s="1591"/>
      <c r="I16" s="1591"/>
      <c r="J16" s="1591"/>
      <c r="K16" s="1591"/>
      <c r="L16" s="1591"/>
    </row>
    <row r="17" spans="1:12" ht="16.5" customHeight="1" x14ac:dyDescent="0.25">
      <c r="A17" s="50"/>
      <c r="B17" s="50"/>
      <c r="C17" s="50"/>
      <c r="D17" s="50"/>
      <c r="E17" s="50"/>
      <c r="F17" s="49"/>
      <c r="G17" s="49"/>
      <c r="H17" s="49"/>
      <c r="I17" s="49"/>
      <c r="J17" s="49"/>
      <c r="K17" s="49"/>
      <c r="L17" s="49"/>
    </row>
    <row r="18" spans="1:12" ht="18" customHeight="1" x14ac:dyDescent="0.25">
      <c r="A18" s="1592" t="s">
        <v>245</v>
      </c>
      <c r="B18" s="1592"/>
      <c r="C18" s="1592"/>
      <c r="D18" s="50"/>
      <c r="E18" s="50"/>
      <c r="F18" s="49"/>
      <c r="G18" s="49"/>
      <c r="H18" s="49"/>
      <c r="I18" s="49"/>
      <c r="J18" s="49"/>
      <c r="K18" s="49"/>
      <c r="L18" s="49"/>
    </row>
    <row r="19" spans="1:12" ht="15" customHeight="1" x14ac:dyDescent="0.25">
      <c r="A19" s="50"/>
      <c r="B19" s="50"/>
      <c r="C19" s="50"/>
      <c r="D19" s="50"/>
      <c r="E19" s="50"/>
      <c r="F19" s="49"/>
      <c r="G19" s="49"/>
      <c r="H19" s="49"/>
      <c r="I19" s="49"/>
      <c r="J19" s="49"/>
      <c r="K19" s="49"/>
      <c r="L19" s="49"/>
    </row>
    <row r="20" spans="1:12" ht="15" customHeight="1" x14ac:dyDescent="0.25">
      <c r="A20" s="50"/>
      <c r="B20" s="581" t="s">
        <v>1275</v>
      </c>
      <c r="C20" s="50"/>
      <c r="D20" s="50"/>
      <c r="E20" s="50"/>
      <c r="F20" s="49"/>
      <c r="G20" s="49"/>
      <c r="H20" s="49"/>
      <c r="I20" s="49"/>
      <c r="J20" s="49"/>
      <c r="K20" s="49"/>
      <c r="L20" s="49"/>
    </row>
    <row r="21" spans="1:12" ht="15" customHeight="1" x14ac:dyDescent="0.25">
      <c r="A21" s="50"/>
      <c r="B21" s="50"/>
      <c r="C21" s="50"/>
      <c r="D21" s="50"/>
      <c r="E21" s="50"/>
      <c r="F21" s="49"/>
      <c r="G21" s="49"/>
      <c r="H21" s="49"/>
      <c r="I21" s="49"/>
      <c r="J21" s="49"/>
      <c r="K21" s="49"/>
      <c r="L21" s="49"/>
    </row>
    <row r="22" spans="1:12" ht="18" customHeight="1" x14ac:dyDescent="0.25">
      <c r="A22" s="50"/>
      <c r="B22" s="1818" t="s">
        <v>268</v>
      </c>
      <c r="C22" s="1818"/>
      <c r="D22" s="1818"/>
      <c r="E22" s="1818"/>
      <c r="F22" s="1818"/>
      <c r="G22" s="1818"/>
      <c r="H22" s="1818"/>
      <c r="I22" s="1818"/>
      <c r="J22" s="49"/>
      <c r="K22" s="49"/>
      <c r="L22" s="49"/>
    </row>
    <row r="23" spans="1:12" ht="18" customHeight="1" x14ac:dyDescent="0.25">
      <c r="A23" s="50"/>
      <c r="B23" s="1818"/>
      <c r="C23" s="1818"/>
      <c r="D23" s="1818"/>
      <c r="E23" s="1818"/>
      <c r="F23" s="1818"/>
      <c r="G23" s="1818"/>
      <c r="H23" s="1818"/>
      <c r="I23" s="1818"/>
      <c r="J23" s="49"/>
      <c r="K23" s="49"/>
      <c r="L23" s="49"/>
    </row>
    <row r="24" spans="1:12" ht="13.5" customHeight="1" x14ac:dyDescent="0.25">
      <c r="A24" s="50"/>
      <c r="B24" s="722"/>
      <c r="C24" s="722"/>
      <c r="D24" s="722"/>
      <c r="E24" s="722"/>
      <c r="F24" s="722"/>
      <c r="G24" s="722"/>
      <c r="H24" s="722"/>
      <c r="I24" s="722"/>
      <c r="J24" s="49"/>
      <c r="K24" s="49"/>
      <c r="L24" s="49"/>
    </row>
    <row r="25" spans="1:12" ht="15" customHeight="1" x14ac:dyDescent="0.25">
      <c r="A25" s="50"/>
      <c r="B25" s="1044" t="s">
        <v>2326</v>
      </c>
      <c r="C25" s="681"/>
      <c r="D25" s="681"/>
      <c r="E25" s="681"/>
      <c r="F25" s="681"/>
      <c r="G25" s="681"/>
      <c r="H25" s="681"/>
      <c r="I25" s="682"/>
      <c r="J25" s="49"/>
      <c r="K25" s="49"/>
      <c r="L25" s="49"/>
    </row>
    <row r="26" spans="1:12" ht="15" customHeight="1" x14ac:dyDescent="0.25">
      <c r="A26" s="50"/>
      <c r="B26" s="1110" t="s">
        <v>269</v>
      </c>
      <c r="C26" s="680"/>
      <c r="D26" s="680"/>
      <c r="E26" s="680"/>
      <c r="F26" s="680"/>
      <c r="G26" s="680"/>
      <c r="H26" s="680"/>
      <c r="I26" s="683"/>
      <c r="J26" s="49"/>
      <c r="K26" s="49"/>
      <c r="L26" s="49"/>
    </row>
    <row r="27" spans="1:12" ht="15" customHeight="1" x14ac:dyDescent="0.25">
      <c r="A27" s="50"/>
      <c r="B27" s="1110" t="s">
        <v>270</v>
      </c>
      <c r="C27" s="680"/>
      <c r="D27" s="680"/>
      <c r="E27" s="680"/>
      <c r="F27" s="680"/>
      <c r="G27" s="680"/>
      <c r="H27" s="680"/>
      <c r="I27" s="683"/>
      <c r="J27" s="49"/>
      <c r="K27" s="49"/>
      <c r="L27" s="49"/>
    </row>
    <row r="28" spans="1:12" ht="15" customHeight="1" x14ac:dyDescent="0.25">
      <c r="A28" s="50"/>
      <c r="B28" s="1110" t="s">
        <v>271</v>
      </c>
      <c r="C28" s="680"/>
      <c r="D28" s="680"/>
      <c r="E28" s="680"/>
      <c r="F28" s="680"/>
      <c r="G28" s="680"/>
      <c r="H28" s="680"/>
      <c r="I28" s="683"/>
      <c r="J28" s="49"/>
      <c r="K28" s="49"/>
      <c r="L28" s="49"/>
    </row>
    <row r="29" spans="1:12" ht="15" customHeight="1" x14ac:dyDescent="0.25">
      <c r="A29" s="50"/>
      <c r="B29" s="1110" t="s">
        <v>272</v>
      </c>
      <c r="C29" s="680"/>
      <c r="D29" s="680"/>
      <c r="E29" s="680"/>
      <c r="F29" s="680"/>
      <c r="G29" s="680"/>
      <c r="H29" s="680"/>
      <c r="I29" s="683"/>
      <c r="J29" s="49"/>
      <c r="K29" s="49"/>
      <c r="L29" s="49"/>
    </row>
    <row r="30" spans="1:12" ht="15" customHeight="1" x14ac:dyDescent="0.25">
      <c r="A30" s="50"/>
      <c r="B30" s="1110" t="s">
        <v>273</v>
      </c>
      <c r="C30" s="680"/>
      <c r="D30" s="680"/>
      <c r="E30" s="680"/>
      <c r="F30" s="680"/>
      <c r="G30" s="680"/>
      <c r="H30" s="680"/>
      <c r="I30" s="683"/>
      <c r="J30" s="49"/>
      <c r="K30" s="49"/>
      <c r="L30" s="49"/>
    </row>
    <row r="31" spans="1:12" ht="15" customHeight="1" x14ac:dyDescent="0.25">
      <c r="A31" s="50"/>
      <c r="B31" s="1110" t="s">
        <v>274</v>
      </c>
      <c r="C31" s="680"/>
      <c r="D31" s="680"/>
      <c r="E31" s="680"/>
      <c r="F31" s="680"/>
      <c r="G31" s="680"/>
      <c r="H31" s="680"/>
      <c r="I31" s="683"/>
      <c r="J31" s="49"/>
      <c r="K31" s="49"/>
      <c r="L31" s="49"/>
    </row>
    <row r="32" spans="1:12" ht="15" customHeight="1" x14ac:dyDescent="0.25">
      <c r="A32" s="50"/>
      <c r="B32" s="1110" t="s">
        <v>275</v>
      </c>
      <c r="C32" s="680"/>
      <c r="D32" s="680"/>
      <c r="E32" s="680"/>
      <c r="F32" s="680"/>
      <c r="G32" s="680"/>
      <c r="H32" s="680"/>
      <c r="I32" s="683"/>
      <c r="J32" s="49"/>
      <c r="K32" s="49"/>
      <c r="L32" s="49"/>
    </row>
    <row r="33" spans="1:14" ht="15" customHeight="1" x14ac:dyDescent="0.25">
      <c r="A33" s="50"/>
      <c r="B33" s="1111" t="s">
        <v>1276</v>
      </c>
      <c r="C33" s="684"/>
      <c r="D33" s="684"/>
      <c r="E33" s="684"/>
      <c r="F33" s="684"/>
      <c r="G33" s="684"/>
      <c r="H33" s="684"/>
      <c r="I33" s="685"/>
      <c r="J33" s="49"/>
      <c r="K33" s="49"/>
      <c r="L33" s="49"/>
    </row>
    <row r="34" spans="1:14" ht="18.75" customHeight="1" x14ac:dyDescent="0.25">
      <c r="A34" s="50"/>
      <c r="B34" s="50"/>
      <c r="C34" s="50"/>
      <c r="D34" s="50"/>
      <c r="E34" s="50"/>
      <c r="F34" s="49"/>
      <c r="G34" s="49"/>
      <c r="H34" s="49"/>
      <c r="I34" s="49"/>
      <c r="J34" s="49"/>
      <c r="K34" s="49"/>
      <c r="L34" s="49"/>
    </row>
    <row r="35" spans="1:14" ht="18" customHeight="1" x14ac:dyDescent="0.25">
      <c r="A35" s="1592" t="s">
        <v>23</v>
      </c>
      <c r="B35" s="1592"/>
      <c r="C35" s="1592"/>
      <c r="D35" s="50"/>
      <c r="E35" s="50"/>
      <c r="F35" s="49"/>
      <c r="G35" s="49"/>
      <c r="H35" s="49"/>
      <c r="I35" s="49"/>
      <c r="J35" s="49"/>
      <c r="K35" s="49"/>
      <c r="L35" s="49"/>
    </row>
    <row r="36" spans="1:14" ht="12.75" customHeight="1" x14ac:dyDescent="0.25">
      <c r="A36" s="50"/>
      <c r="B36" s="50"/>
      <c r="C36" s="50"/>
      <c r="D36" s="50"/>
      <c r="E36" s="50"/>
      <c r="F36" s="49"/>
      <c r="G36" s="49"/>
      <c r="H36" s="49"/>
      <c r="I36" s="49"/>
      <c r="J36" s="49"/>
      <c r="K36" s="49"/>
      <c r="L36" s="49"/>
    </row>
    <row r="37" spans="1:14" x14ac:dyDescent="0.25">
      <c r="A37" s="50"/>
      <c r="B37" s="642" t="s">
        <v>1277</v>
      </c>
      <c r="C37" s="50"/>
      <c r="D37" s="50"/>
      <c r="E37" s="50"/>
      <c r="F37" s="49"/>
      <c r="G37" s="49"/>
      <c r="H37" s="49"/>
      <c r="I37" s="49"/>
      <c r="J37" s="49"/>
      <c r="K37" s="49"/>
      <c r="L37" s="49"/>
    </row>
    <row r="38" spans="1:14" x14ac:dyDescent="0.25">
      <c r="A38" s="50"/>
      <c r="B38" s="50"/>
      <c r="C38" s="50"/>
      <c r="D38" s="50"/>
      <c r="E38" s="50"/>
      <c r="F38" s="49"/>
      <c r="G38" s="49"/>
      <c r="H38" s="49"/>
      <c r="I38" s="49"/>
      <c r="J38" s="49"/>
      <c r="K38" s="49"/>
      <c r="L38" s="49"/>
    </row>
    <row r="39" spans="1:14" ht="18" customHeight="1" x14ac:dyDescent="0.25">
      <c r="A39" s="50"/>
      <c r="B39" s="353" t="s">
        <v>158</v>
      </c>
      <c r="C39" s="390" t="s">
        <v>496</v>
      </c>
      <c r="D39" s="390" t="s">
        <v>26</v>
      </c>
      <c r="E39" s="390" t="s">
        <v>159</v>
      </c>
      <c r="F39" s="372" t="s">
        <v>160</v>
      </c>
      <c r="G39" s="390" t="s">
        <v>162</v>
      </c>
      <c r="H39" s="390" t="s">
        <v>161</v>
      </c>
      <c r="I39" s="1817" t="s">
        <v>30</v>
      </c>
      <c r="J39" s="1817"/>
      <c r="K39" s="1817"/>
      <c r="L39" s="862"/>
      <c r="N39" s="49"/>
    </row>
    <row r="40" spans="1:14" x14ac:dyDescent="0.25">
      <c r="A40" s="50"/>
      <c r="B40" s="1095" t="s">
        <v>124</v>
      </c>
      <c r="C40" s="184"/>
      <c r="D40" s="184"/>
      <c r="E40" s="184"/>
      <c r="F40" s="184" t="s">
        <v>124</v>
      </c>
      <c r="G40" s="392">
        <f t="shared" ref="G40:G59" si="0">IF(AND(B40&lt;&gt;"",F40="Yes"),E40*D40,0)</f>
        <v>0</v>
      </c>
      <c r="H40" s="392">
        <f t="shared" ref="H40:H59" si="1">IF(B40&lt;&gt;"",E40*D40,0)</f>
        <v>0</v>
      </c>
      <c r="I40" s="1816"/>
      <c r="J40" s="1816"/>
      <c r="K40" s="1816"/>
      <c r="L40" s="49"/>
      <c r="N40" s="49"/>
    </row>
    <row r="41" spans="1:14" x14ac:dyDescent="0.25">
      <c r="A41" s="50"/>
      <c r="B41" s="1095" t="s">
        <v>124</v>
      </c>
      <c r="C41" s="184"/>
      <c r="D41" s="184"/>
      <c r="E41" s="166"/>
      <c r="F41" s="472" t="s">
        <v>124</v>
      </c>
      <c r="G41" s="63">
        <f t="shared" si="0"/>
        <v>0</v>
      </c>
      <c r="H41" s="63">
        <f t="shared" si="1"/>
        <v>0</v>
      </c>
      <c r="I41" s="1816"/>
      <c r="J41" s="1816"/>
      <c r="K41" s="1816"/>
      <c r="L41" s="49"/>
      <c r="N41" s="49"/>
    </row>
    <row r="42" spans="1:14" ht="15" customHeight="1" x14ac:dyDescent="0.25">
      <c r="A42" s="50"/>
      <c r="B42" s="1095" t="s">
        <v>124</v>
      </c>
      <c r="C42" s="166"/>
      <c r="D42" s="166"/>
      <c r="E42" s="166"/>
      <c r="F42" s="472" t="s">
        <v>124</v>
      </c>
      <c r="G42" s="63">
        <f t="shared" si="0"/>
        <v>0</v>
      </c>
      <c r="H42" s="63">
        <f t="shared" si="1"/>
        <v>0</v>
      </c>
      <c r="I42" s="1816"/>
      <c r="J42" s="1816"/>
      <c r="K42" s="1816"/>
      <c r="L42" s="49"/>
      <c r="N42" s="49"/>
    </row>
    <row r="43" spans="1:14" x14ac:dyDescent="0.25">
      <c r="A43" s="50"/>
      <c r="B43" s="1095" t="s">
        <v>124</v>
      </c>
      <c r="C43" s="166"/>
      <c r="D43" s="166"/>
      <c r="E43" s="166"/>
      <c r="F43" s="472" t="s">
        <v>124</v>
      </c>
      <c r="G43" s="63">
        <f t="shared" si="0"/>
        <v>0</v>
      </c>
      <c r="H43" s="214">
        <f t="shared" si="1"/>
        <v>0</v>
      </c>
      <c r="I43" s="1816"/>
      <c r="J43" s="1816"/>
      <c r="K43" s="1816"/>
      <c r="L43" s="49"/>
      <c r="N43" s="49"/>
    </row>
    <row r="44" spans="1:14" x14ac:dyDescent="0.25">
      <c r="A44" s="50"/>
      <c r="B44" s="1095" t="s">
        <v>124</v>
      </c>
      <c r="C44" s="166"/>
      <c r="D44" s="166"/>
      <c r="E44" s="166"/>
      <c r="F44" s="472" t="s">
        <v>124</v>
      </c>
      <c r="G44" s="63">
        <f t="shared" si="0"/>
        <v>0</v>
      </c>
      <c r="H44" s="214">
        <f t="shared" si="1"/>
        <v>0</v>
      </c>
      <c r="I44" s="1816"/>
      <c r="J44" s="1816"/>
      <c r="K44" s="1816"/>
      <c r="L44" s="49"/>
      <c r="N44" s="49"/>
    </row>
    <row r="45" spans="1:14" x14ac:dyDescent="0.25">
      <c r="A45" s="50"/>
      <c r="B45" s="1095" t="s">
        <v>124</v>
      </c>
      <c r="C45" s="166"/>
      <c r="D45" s="166"/>
      <c r="E45" s="166"/>
      <c r="F45" s="472" t="s">
        <v>124</v>
      </c>
      <c r="G45" s="63">
        <f t="shared" si="0"/>
        <v>0</v>
      </c>
      <c r="H45" s="214">
        <f t="shared" si="1"/>
        <v>0</v>
      </c>
      <c r="I45" s="1816"/>
      <c r="J45" s="1816"/>
      <c r="K45" s="1816"/>
      <c r="L45" s="49"/>
      <c r="N45" s="49"/>
    </row>
    <row r="46" spans="1:14" x14ac:dyDescent="0.25">
      <c r="A46" s="50"/>
      <c r="B46" s="1095" t="s">
        <v>124</v>
      </c>
      <c r="C46" s="166"/>
      <c r="D46" s="166"/>
      <c r="E46" s="166"/>
      <c r="F46" s="472" t="s">
        <v>124</v>
      </c>
      <c r="G46" s="63">
        <f t="shared" si="0"/>
        <v>0</v>
      </c>
      <c r="H46" s="214">
        <f t="shared" si="1"/>
        <v>0</v>
      </c>
      <c r="I46" s="1816"/>
      <c r="J46" s="1816"/>
      <c r="K46" s="1816"/>
      <c r="L46" s="49"/>
      <c r="N46" s="49"/>
    </row>
    <row r="47" spans="1:14" x14ac:dyDescent="0.25">
      <c r="A47" s="50"/>
      <c r="B47" s="1095" t="s">
        <v>124</v>
      </c>
      <c r="C47" s="879"/>
      <c r="D47" s="879"/>
      <c r="E47" s="879"/>
      <c r="F47" s="881" t="s">
        <v>124</v>
      </c>
      <c r="G47" s="63">
        <f t="shared" ref="G47" si="2">IF(AND(B47&lt;&gt;"",F47="Yes"),E47*D47,0)</f>
        <v>0</v>
      </c>
      <c r="H47" s="214">
        <f t="shared" ref="H47" si="3">IF(B47&lt;&gt;"",E47*D47,0)</f>
        <v>0</v>
      </c>
      <c r="I47" s="1816"/>
      <c r="J47" s="1816"/>
      <c r="K47" s="1816"/>
      <c r="L47" s="49"/>
      <c r="N47" s="49"/>
    </row>
    <row r="48" spans="1:14" x14ac:dyDescent="0.25">
      <c r="A48" s="50"/>
      <c r="B48" s="1095" t="s">
        <v>124</v>
      </c>
      <c r="C48" s="846"/>
      <c r="D48" s="846"/>
      <c r="E48" s="846"/>
      <c r="F48" s="850" t="s">
        <v>124</v>
      </c>
      <c r="G48" s="63">
        <f t="shared" ref="G48" si="4">IF(AND(B48&lt;&gt;"",F48="Yes"),E48*D48,0)</f>
        <v>0</v>
      </c>
      <c r="H48" s="214">
        <f t="shared" ref="H48" si="5">IF(B48&lt;&gt;"",E48*D48,0)</f>
        <v>0</v>
      </c>
      <c r="I48" s="1816"/>
      <c r="J48" s="1816"/>
      <c r="K48" s="1816"/>
      <c r="L48" s="49"/>
      <c r="N48" s="49"/>
    </row>
    <row r="49" spans="1:14" x14ac:dyDescent="0.25">
      <c r="A49" s="50"/>
      <c r="B49" s="1095" t="s">
        <v>124</v>
      </c>
      <c r="C49" s="166"/>
      <c r="D49" s="166"/>
      <c r="E49" s="166"/>
      <c r="F49" s="472" t="s">
        <v>124</v>
      </c>
      <c r="G49" s="63">
        <f t="shared" si="0"/>
        <v>0</v>
      </c>
      <c r="H49" s="214">
        <f t="shared" si="1"/>
        <v>0</v>
      </c>
      <c r="I49" s="1816"/>
      <c r="J49" s="1816"/>
      <c r="K49" s="1816"/>
      <c r="L49" s="49"/>
      <c r="N49" s="49"/>
    </row>
    <row r="50" spans="1:14" x14ac:dyDescent="0.25">
      <c r="A50" s="50"/>
      <c r="B50" s="1095" t="s">
        <v>124</v>
      </c>
      <c r="C50" s="166"/>
      <c r="D50" s="166"/>
      <c r="E50" s="166"/>
      <c r="F50" s="472" t="s">
        <v>124</v>
      </c>
      <c r="G50" s="63">
        <f t="shared" si="0"/>
        <v>0</v>
      </c>
      <c r="H50" s="214">
        <f t="shared" si="1"/>
        <v>0</v>
      </c>
      <c r="I50" s="1816"/>
      <c r="J50" s="1816"/>
      <c r="K50" s="1816"/>
      <c r="L50" s="49"/>
      <c r="N50" s="49"/>
    </row>
    <row r="51" spans="1:14" x14ac:dyDescent="0.25">
      <c r="A51" s="50"/>
      <c r="B51" s="1095" t="s">
        <v>124</v>
      </c>
      <c r="C51" s="846"/>
      <c r="D51" s="846"/>
      <c r="E51" s="846"/>
      <c r="F51" s="850" t="s">
        <v>124</v>
      </c>
      <c r="G51" s="63">
        <f t="shared" ref="G51" si="6">IF(AND(B51&lt;&gt;"",F51="Yes"),E51*D51,0)</f>
        <v>0</v>
      </c>
      <c r="H51" s="214">
        <f t="shared" ref="H51" si="7">IF(B51&lt;&gt;"",E51*D51,0)</f>
        <v>0</v>
      </c>
      <c r="I51" s="1816"/>
      <c r="J51" s="1816"/>
      <c r="K51" s="1816"/>
      <c r="L51" s="49"/>
      <c r="N51" s="49"/>
    </row>
    <row r="52" spans="1:14" x14ac:dyDescent="0.25">
      <c r="A52" s="50"/>
      <c r="B52" s="1095" t="s">
        <v>124</v>
      </c>
      <c r="C52" s="166"/>
      <c r="D52" s="166"/>
      <c r="E52" s="166"/>
      <c r="F52" s="472" t="s">
        <v>124</v>
      </c>
      <c r="G52" s="63">
        <f t="shared" si="0"/>
        <v>0</v>
      </c>
      <c r="H52" s="214">
        <f t="shared" si="1"/>
        <v>0</v>
      </c>
      <c r="I52" s="1816"/>
      <c r="J52" s="1816"/>
      <c r="K52" s="1816"/>
      <c r="L52" s="49"/>
      <c r="N52" s="49"/>
    </row>
    <row r="53" spans="1:14" x14ac:dyDescent="0.25">
      <c r="A53" s="50"/>
      <c r="B53" s="1095" t="s">
        <v>124</v>
      </c>
      <c r="C53" s="166"/>
      <c r="D53" s="166"/>
      <c r="E53" s="166"/>
      <c r="F53" s="472" t="s">
        <v>124</v>
      </c>
      <c r="G53" s="63">
        <f t="shared" si="0"/>
        <v>0</v>
      </c>
      <c r="H53" s="214">
        <f t="shared" si="1"/>
        <v>0</v>
      </c>
      <c r="I53" s="1816"/>
      <c r="J53" s="1816"/>
      <c r="K53" s="1816"/>
      <c r="L53" s="49"/>
      <c r="N53" s="49"/>
    </row>
    <row r="54" spans="1:14" x14ac:dyDescent="0.25">
      <c r="A54" s="50"/>
      <c r="B54" s="1095" t="s">
        <v>124</v>
      </c>
      <c r="C54" s="846"/>
      <c r="D54" s="846"/>
      <c r="E54" s="846"/>
      <c r="F54" s="850" t="s">
        <v>124</v>
      </c>
      <c r="G54" s="63">
        <f t="shared" ref="G54" si="8">IF(AND(B54&lt;&gt;"",F54="Yes"),E54*D54,0)</f>
        <v>0</v>
      </c>
      <c r="H54" s="214">
        <f t="shared" ref="H54" si="9">IF(B54&lt;&gt;"",E54*D54,0)</f>
        <v>0</v>
      </c>
      <c r="I54" s="1816"/>
      <c r="J54" s="1816"/>
      <c r="K54" s="1816"/>
      <c r="L54" s="49"/>
      <c r="N54" s="49"/>
    </row>
    <row r="55" spans="1:14" x14ac:dyDescent="0.25">
      <c r="A55" s="50"/>
      <c r="B55" s="1095" t="s">
        <v>124</v>
      </c>
      <c r="C55" s="166"/>
      <c r="D55" s="166"/>
      <c r="E55" s="166"/>
      <c r="F55" s="472" t="s">
        <v>124</v>
      </c>
      <c r="G55" s="63">
        <f t="shared" si="0"/>
        <v>0</v>
      </c>
      <c r="H55" s="214">
        <f t="shared" si="1"/>
        <v>0</v>
      </c>
      <c r="I55" s="1816"/>
      <c r="J55" s="1816"/>
      <c r="K55" s="1816"/>
      <c r="L55" s="49"/>
      <c r="N55" s="49"/>
    </row>
    <row r="56" spans="1:14" x14ac:dyDescent="0.25">
      <c r="A56" s="50"/>
      <c r="B56" s="1095" t="s">
        <v>124</v>
      </c>
      <c r="C56" s="471"/>
      <c r="D56" s="471"/>
      <c r="E56" s="471"/>
      <c r="F56" s="472" t="s">
        <v>124</v>
      </c>
      <c r="G56" s="63">
        <f>IF(AND(B56&lt;&gt;"",F56="Yes"),E56*D56,0)</f>
        <v>0</v>
      </c>
      <c r="H56" s="214">
        <f>IF(B56&lt;&gt;"",E56*D56,0)</f>
        <v>0</v>
      </c>
      <c r="I56" s="1816"/>
      <c r="J56" s="1816"/>
      <c r="K56" s="1816"/>
      <c r="L56" s="49"/>
      <c r="N56" s="49"/>
    </row>
    <row r="57" spans="1:14" x14ac:dyDescent="0.25">
      <c r="A57" s="50"/>
      <c r="B57" s="1095" t="s">
        <v>124</v>
      </c>
      <c r="C57" s="471"/>
      <c r="D57" s="471"/>
      <c r="E57" s="471"/>
      <c r="F57" s="472" t="s">
        <v>124</v>
      </c>
      <c r="G57" s="63">
        <f>IF(AND(B57&lt;&gt;"",F57="Yes"),E57*D57,0)</f>
        <v>0</v>
      </c>
      <c r="H57" s="214">
        <f>IF(B57&lt;&gt;"",E57*D57,0)</f>
        <v>0</v>
      </c>
      <c r="I57" s="1816"/>
      <c r="J57" s="1816"/>
      <c r="K57" s="1816"/>
      <c r="L57" s="49"/>
      <c r="N57" s="49"/>
    </row>
    <row r="58" spans="1:14" x14ac:dyDescent="0.25">
      <c r="A58" s="50"/>
      <c r="B58" s="1095" t="s">
        <v>124</v>
      </c>
      <c r="C58" s="166"/>
      <c r="D58" s="166"/>
      <c r="E58" s="166"/>
      <c r="F58" s="472" t="s">
        <v>124</v>
      </c>
      <c r="G58" s="63">
        <f>IF(AND(B58&lt;&gt;"",F58="Yes"),E58*D58,0)</f>
        <v>0</v>
      </c>
      <c r="H58" s="214">
        <f>IF(B58&lt;&gt;"",E58*D58,0)</f>
        <v>0</v>
      </c>
      <c r="I58" s="1816"/>
      <c r="J58" s="1816"/>
      <c r="K58" s="1816"/>
      <c r="L58" s="49"/>
      <c r="N58" s="49"/>
    </row>
    <row r="59" spans="1:14" x14ac:dyDescent="0.25">
      <c r="A59" s="50"/>
      <c r="B59" s="1095" t="s">
        <v>124</v>
      </c>
      <c r="C59" s="166"/>
      <c r="D59" s="166"/>
      <c r="E59" s="166"/>
      <c r="F59" s="472" t="s">
        <v>124</v>
      </c>
      <c r="G59" s="63">
        <f t="shared" si="0"/>
        <v>0</v>
      </c>
      <c r="H59" s="214">
        <f t="shared" si="1"/>
        <v>0</v>
      </c>
      <c r="I59" s="1816"/>
      <c r="J59" s="1816"/>
      <c r="K59" s="1816"/>
      <c r="L59" s="49"/>
      <c r="N59" s="49"/>
    </row>
    <row r="60" spans="1:14" x14ac:dyDescent="0.25">
      <c r="A60" s="50"/>
      <c r="B60" s="50"/>
      <c r="C60" s="50"/>
      <c r="D60" s="50"/>
      <c r="E60" s="50"/>
      <c r="F60" s="10" t="s">
        <v>265</v>
      </c>
      <c r="G60" s="10">
        <f>SUM(G40:G59)</f>
        <v>0</v>
      </c>
      <c r="H60" s="10">
        <f>SUM(H40:H59)</f>
        <v>0</v>
      </c>
      <c r="I60" s="49"/>
      <c r="J60" s="49"/>
      <c r="K60" s="49"/>
      <c r="L60" s="49"/>
    </row>
    <row r="61" spans="1:14" ht="17.25" customHeight="1" x14ac:dyDescent="0.25">
      <c r="A61" s="50"/>
      <c r="B61" s="50"/>
      <c r="C61" s="50"/>
      <c r="D61" s="50"/>
      <c r="E61" s="50"/>
      <c r="F61" s="49"/>
      <c r="G61" s="49"/>
      <c r="H61" s="49"/>
      <c r="I61" s="49"/>
      <c r="J61" s="49"/>
      <c r="K61" s="49"/>
      <c r="L61" s="49"/>
    </row>
    <row r="62" spans="1:14" ht="18" customHeight="1" x14ac:dyDescent="0.25">
      <c r="A62" s="50"/>
      <c r="B62" s="1623" t="s">
        <v>503</v>
      </c>
      <c r="C62" s="1623"/>
      <c r="D62" s="1623"/>
      <c r="E62" s="1623"/>
      <c r="F62" s="75">
        <f>IF(H60&lt;&gt;0,G60/H60,0)</f>
        <v>0</v>
      </c>
      <c r="G62" s="69" t="str">
        <f>IF(C72&lt;&gt;0,"",IF(F62&gt;=0.8,"→ 3 points can be achieved by submitting required documentation",IF(F62&gt;=0.6,"→ 2 points can be achieved by submitting required documentation",IF(F62&gt;=0.4,"→ 1 point can be achieved by submitting required documentation",""))))</f>
        <v/>
      </c>
      <c r="H62" s="49"/>
      <c r="I62" s="49"/>
      <c r="J62" s="49"/>
      <c r="K62" s="49"/>
      <c r="L62" s="49"/>
    </row>
    <row r="63" spans="1:14" ht="19.5" customHeight="1" x14ac:dyDescent="0.25">
      <c r="A63" s="50"/>
      <c r="B63" s="50"/>
      <c r="C63" s="50"/>
      <c r="D63" s="50"/>
      <c r="E63" s="50"/>
      <c r="F63" s="49"/>
      <c r="G63" s="49"/>
      <c r="H63" s="49"/>
      <c r="I63" s="49"/>
      <c r="J63" s="49"/>
      <c r="K63" s="49"/>
      <c r="L63" s="49"/>
    </row>
    <row r="64" spans="1:14" ht="18" customHeight="1" x14ac:dyDescent="0.25">
      <c r="A64" s="1592" t="s">
        <v>186</v>
      </c>
      <c r="B64" s="1592"/>
      <c r="C64" s="1592"/>
      <c r="D64" s="50"/>
      <c r="E64" s="50"/>
      <c r="F64" s="49"/>
      <c r="G64" s="49"/>
      <c r="H64" s="49"/>
      <c r="I64" s="49"/>
      <c r="J64" s="49"/>
      <c r="K64" s="49"/>
      <c r="L64" s="49"/>
    </row>
    <row r="65" spans="1:12" ht="16.5" customHeight="1" x14ac:dyDescent="0.25">
      <c r="A65" s="49"/>
      <c r="B65" s="50"/>
      <c r="C65" s="50"/>
      <c r="D65" s="50"/>
      <c r="E65" s="49"/>
      <c r="F65" s="49"/>
      <c r="G65" s="49"/>
      <c r="H65" s="49"/>
      <c r="I65" s="49"/>
      <c r="J65" s="49"/>
      <c r="K65" s="49"/>
      <c r="L65" s="49"/>
    </row>
    <row r="66" spans="1:12" ht="18" customHeight="1" x14ac:dyDescent="0.25">
      <c r="A66" s="49"/>
      <c r="B66" s="1582" t="s">
        <v>1739</v>
      </c>
      <c r="C66" s="1583"/>
      <c r="D66" s="1583"/>
      <c r="E66" s="1583"/>
      <c r="F66" s="1583"/>
      <c r="G66" s="934" t="s">
        <v>1737</v>
      </c>
      <c r="H66" s="1589" t="s">
        <v>1738</v>
      </c>
      <c r="I66" s="1590"/>
      <c r="J66" s="49"/>
      <c r="K66" s="49"/>
      <c r="L66" s="49"/>
    </row>
    <row r="67" spans="1:12" ht="27.75" customHeight="1" x14ac:dyDescent="0.25">
      <c r="A67" s="49"/>
      <c r="B67" s="1576" t="s">
        <v>1061</v>
      </c>
      <c r="C67" s="1577"/>
      <c r="D67" s="1577"/>
      <c r="E67" s="1577"/>
      <c r="F67" s="1578"/>
      <c r="G67" s="565" t="s">
        <v>124</v>
      </c>
      <c r="H67" s="1587"/>
      <c r="I67" s="1588"/>
      <c r="J67" s="49"/>
      <c r="K67" s="49"/>
      <c r="L67" s="49"/>
    </row>
    <row r="68" spans="1:12" ht="27.75" customHeight="1" x14ac:dyDescent="0.25">
      <c r="A68" s="49"/>
      <c r="B68" s="1576" t="s">
        <v>1062</v>
      </c>
      <c r="C68" s="1577"/>
      <c r="D68" s="1577"/>
      <c r="E68" s="1577"/>
      <c r="F68" s="1578"/>
      <c r="G68" s="565" t="s">
        <v>124</v>
      </c>
      <c r="H68" s="1587"/>
      <c r="I68" s="1588"/>
      <c r="J68" s="49"/>
      <c r="K68" s="49"/>
      <c r="L68" s="49"/>
    </row>
    <row r="69" spans="1:12" ht="21.75" customHeight="1" x14ac:dyDescent="0.25">
      <c r="A69" s="49"/>
      <c r="B69" s="49"/>
      <c r="C69" s="49"/>
      <c r="D69" s="49"/>
      <c r="E69" s="49"/>
      <c r="F69" s="49"/>
      <c r="G69" s="49"/>
      <c r="H69" s="49"/>
      <c r="I69" s="49"/>
      <c r="J69" s="49"/>
      <c r="K69" s="49"/>
      <c r="L69" s="49"/>
    </row>
    <row r="70" spans="1:12" ht="18" customHeight="1" x14ac:dyDescent="0.25">
      <c r="A70" s="1592" t="s">
        <v>22</v>
      </c>
      <c r="B70" s="1592"/>
      <c r="C70" s="1592"/>
      <c r="D70" s="50"/>
      <c r="E70" s="50"/>
      <c r="F70" s="49"/>
      <c r="G70" s="49"/>
      <c r="H70" s="49"/>
      <c r="I70" s="49"/>
      <c r="J70" s="49"/>
      <c r="K70" s="49"/>
      <c r="L70" s="49"/>
    </row>
    <row r="71" spans="1:12" ht="17.25" customHeight="1" x14ac:dyDescent="0.25">
      <c r="A71" s="50"/>
      <c r="B71" s="50"/>
      <c r="C71" s="50"/>
      <c r="D71" s="50"/>
      <c r="E71" s="50"/>
      <c r="F71" s="49"/>
      <c r="G71" s="49"/>
      <c r="H71" s="49"/>
      <c r="I71" s="49"/>
      <c r="J71" s="49"/>
      <c r="K71" s="49"/>
      <c r="L71" s="49"/>
    </row>
    <row r="72" spans="1:12" ht="18" customHeight="1" x14ac:dyDescent="0.25">
      <c r="A72" s="50"/>
      <c r="B72" s="171" t="s">
        <v>53</v>
      </c>
      <c r="C72" s="1328">
        <f>IF(F62=0,0,IF(F62&gt;=0.7,2,IF(F62&gt;=0.5,1,0)))</f>
        <v>0</v>
      </c>
      <c r="D72" s="50"/>
      <c r="E72" s="50"/>
      <c r="F72" s="49"/>
      <c r="G72" s="49"/>
      <c r="H72" s="49"/>
      <c r="I72" s="49"/>
      <c r="J72" s="49"/>
      <c r="K72" s="49"/>
      <c r="L72" s="49"/>
    </row>
    <row r="73" spans="1:12" ht="18" customHeight="1" x14ac:dyDescent="0.25">
      <c r="A73" s="50"/>
      <c r="B73" s="171" t="s">
        <v>492</v>
      </c>
      <c r="C73" s="1328" t="str">
        <f>IF(AND(COUNTIF(G67:G68,"Submitted")=2,C72&gt;0),"Yes","No")</f>
        <v>No</v>
      </c>
      <c r="D73" s="50"/>
      <c r="E73" s="50"/>
      <c r="F73" s="49"/>
      <c r="G73" s="49"/>
      <c r="H73" s="49"/>
      <c r="I73" s="49"/>
      <c r="J73" s="49"/>
      <c r="K73" s="49"/>
      <c r="L73" s="49"/>
    </row>
    <row r="74" spans="1:12" ht="22.5" customHeight="1" x14ac:dyDescent="0.25">
      <c r="A74" s="50"/>
      <c r="B74" s="50"/>
      <c r="C74" s="50"/>
      <c r="D74" s="50"/>
      <c r="E74" s="50"/>
      <c r="F74" s="49"/>
      <c r="G74" s="49"/>
      <c r="H74" s="49"/>
      <c r="I74" s="49"/>
      <c r="J74" s="49"/>
      <c r="K74" s="49"/>
      <c r="L74" s="49"/>
    </row>
    <row r="75" spans="1:12" ht="18" customHeight="1" x14ac:dyDescent="0.25">
      <c r="A75" s="1591" t="s">
        <v>2037</v>
      </c>
      <c r="B75" s="1591"/>
      <c r="C75" s="1591"/>
      <c r="D75" s="1591"/>
      <c r="E75" s="1591"/>
      <c r="F75" s="1591"/>
      <c r="G75" s="1591"/>
      <c r="H75" s="1591"/>
      <c r="I75" s="1591"/>
      <c r="J75" s="1591"/>
      <c r="K75" s="1591"/>
      <c r="L75" s="1591"/>
    </row>
    <row r="76" spans="1:12" x14ac:dyDescent="0.25">
      <c r="A76" s="50"/>
      <c r="B76" s="50"/>
      <c r="C76" s="50"/>
      <c r="D76" s="50"/>
      <c r="E76" s="50"/>
      <c r="F76" s="49"/>
      <c r="G76" s="49"/>
      <c r="H76" s="49"/>
      <c r="I76" s="49"/>
      <c r="J76" s="49"/>
      <c r="K76" s="49"/>
      <c r="L76" s="49"/>
    </row>
    <row r="77" spans="1:12" ht="16.5" customHeight="1" x14ac:dyDescent="0.25">
      <c r="A77" s="1592" t="s">
        <v>2038</v>
      </c>
      <c r="B77" s="1592"/>
      <c r="C77" s="1592"/>
      <c r="D77" s="50"/>
      <c r="E77" s="50"/>
      <c r="F77" s="49"/>
      <c r="G77" s="49"/>
      <c r="H77" s="49"/>
      <c r="I77" s="49"/>
      <c r="J77" s="49"/>
      <c r="K77" s="49"/>
      <c r="L77" s="49"/>
    </row>
    <row r="78" spans="1:12" x14ac:dyDescent="0.25">
      <c r="A78" s="50"/>
      <c r="B78" s="50"/>
      <c r="C78" s="50"/>
      <c r="D78" s="50"/>
      <c r="E78" s="50"/>
      <c r="F78" s="49"/>
      <c r="G78" s="49"/>
      <c r="H78" s="49"/>
      <c r="I78" s="49"/>
      <c r="J78" s="49"/>
      <c r="K78" s="49"/>
      <c r="L78" s="49"/>
    </row>
    <row r="79" spans="1:12" x14ac:dyDescent="0.25">
      <c r="A79" s="50"/>
      <c r="B79" s="1104" t="s">
        <v>2039</v>
      </c>
      <c r="C79" s="50"/>
      <c r="D79" s="50"/>
      <c r="E79" s="50"/>
      <c r="F79" s="49"/>
      <c r="G79" s="49"/>
      <c r="H79" s="49"/>
      <c r="I79" s="49"/>
      <c r="J79" s="49"/>
      <c r="K79" s="49"/>
      <c r="L79" s="49"/>
    </row>
    <row r="80" spans="1:12" x14ac:dyDescent="0.25">
      <c r="A80" s="50"/>
      <c r="B80" s="50"/>
      <c r="C80" s="50"/>
      <c r="D80" s="50"/>
      <c r="E80" s="50"/>
      <c r="F80" s="49"/>
      <c r="G80" s="49"/>
      <c r="H80" s="49"/>
      <c r="I80" s="49"/>
      <c r="J80" s="49"/>
      <c r="K80" s="49"/>
      <c r="L80" s="49"/>
    </row>
    <row r="81" spans="1:12" ht="66" customHeight="1" x14ac:dyDescent="0.25">
      <c r="A81" s="50"/>
      <c r="B81" s="1832" t="s">
        <v>2051</v>
      </c>
      <c r="C81" s="1833"/>
      <c r="D81" s="1833"/>
      <c r="E81" s="1833"/>
      <c r="F81" s="1833"/>
      <c r="G81" s="1833"/>
      <c r="H81" s="1833"/>
      <c r="I81" s="1833"/>
      <c r="J81" s="1834"/>
      <c r="K81" s="49"/>
      <c r="L81" s="49"/>
    </row>
    <row r="82" spans="1:12" x14ac:dyDescent="0.25">
      <c r="A82" s="50"/>
      <c r="B82" s="50"/>
      <c r="C82" s="50"/>
      <c r="D82" s="50"/>
      <c r="E82" s="50"/>
      <c r="F82" s="49"/>
      <c r="G82" s="49"/>
      <c r="H82" s="49"/>
      <c r="I82" s="49"/>
      <c r="J82" s="49"/>
      <c r="K82" s="49"/>
      <c r="L82" s="49"/>
    </row>
    <row r="83" spans="1:12" x14ac:dyDescent="0.25">
      <c r="A83" s="50"/>
      <c r="B83" s="1093" t="s">
        <v>2040</v>
      </c>
      <c r="C83" s="1102"/>
      <c r="D83" s="1102"/>
      <c r="E83" s="1102"/>
      <c r="F83" s="1102"/>
      <c r="G83" s="1102"/>
      <c r="H83" s="1103"/>
      <c r="I83" s="49"/>
      <c r="J83" s="49"/>
      <c r="K83" s="49"/>
      <c r="L83" s="49"/>
    </row>
    <row r="84" spans="1:12" x14ac:dyDescent="0.25">
      <c r="A84" s="50"/>
      <c r="B84" s="1835" t="s">
        <v>2041</v>
      </c>
      <c r="C84" s="1836"/>
      <c r="D84" s="1836"/>
      <c r="E84" s="1836"/>
      <c r="F84" s="1836"/>
      <c r="G84" s="1836"/>
      <c r="H84" s="1837"/>
      <c r="I84" s="49"/>
      <c r="J84" s="49"/>
      <c r="K84" s="49"/>
      <c r="L84" s="49"/>
    </row>
    <row r="85" spans="1:12" x14ac:dyDescent="0.25">
      <c r="A85" s="50"/>
      <c r="B85" s="1835" t="s">
        <v>2052</v>
      </c>
      <c r="C85" s="1836"/>
      <c r="D85" s="1836"/>
      <c r="E85" s="1836"/>
      <c r="F85" s="1836"/>
      <c r="G85" s="1836"/>
      <c r="H85" s="1091"/>
      <c r="I85" s="49"/>
      <c r="J85" s="49"/>
      <c r="K85" s="49"/>
      <c r="L85" s="49"/>
    </row>
    <row r="86" spans="1:12" x14ac:dyDescent="0.25">
      <c r="A86" s="50"/>
      <c r="B86" s="1838" t="s">
        <v>2042</v>
      </c>
      <c r="C86" s="1839"/>
      <c r="D86" s="1839"/>
      <c r="E86" s="1839"/>
      <c r="F86" s="1839"/>
      <c r="G86" s="1839"/>
      <c r="H86" s="1092"/>
      <c r="I86" s="49"/>
      <c r="J86" s="49"/>
      <c r="K86" s="49"/>
      <c r="L86" s="49"/>
    </row>
    <row r="87" spans="1:12" x14ac:dyDescent="0.25">
      <c r="A87" s="50"/>
      <c r="B87" s="50"/>
      <c r="C87" s="50"/>
      <c r="D87" s="50"/>
      <c r="E87" s="50"/>
      <c r="F87" s="49"/>
      <c r="G87" s="49"/>
      <c r="H87" s="49"/>
      <c r="I87" s="49"/>
      <c r="J87" s="49"/>
      <c r="K87" s="49"/>
      <c r="L87" s="49"/>
    </row>
    <row r="88" spans="1:12" x14ac:dyDescent="0.25">
      <c r="A88" s="50"/>
      <c r="B88" s="1127" t="s">
        <v>2054</v>
      </c>
      <c r="C88" s="852"/>
      <c r="D88" s="852"/>
      <c r="E88" s="852"/>
      <c r="F88" s="853"/>
      <c r="G88" s="853"/>
      <c r="H88" s="853"/>
      <c r="I88" s="853"/>
      <c r="J88" s="853"/>
      <c r="K88" s="49"/>
      <c r="L88" s="49"/>
    </row>
    <row r="89" spans="1:12" ht="25.5" customHeight="1" x14ac:dyDescent="0.25">
      <c r="A89" s="50"/>
      <c r="B89" s="1840" t="s">
        <v>2055</v>
      </c>
      <c r="C89" s="1840"/>
      <c r="D89" s="1840"/>
      <c r="E89" s="1840"/>
      <c r="F89" s="1840"/>
      <c r="G89" s="1840"/>
      <c r="H89" s="1840"/>
      <c r="I89" s="1840"/>
      <c r="J89" s="1840"/>
      <c r="K89" s="49"/>
      <c r="L89" s="49"/>
    </row>
    <row r="90" spans="1:12" x14ac:dyDescent="0.25">
      <c r="A90" s="50"/>
      <c r="B90" s="50"/>
      <c r="C90" s="50"/>
      <c r="D90" s="50"/>
      <c r="E90" s="50"/>
      <c r="F90" s="49"/>
      <c r="G90" s="49"/>
      <c r="H90" s="49"/>
      <c r="I90" s="49"/>
      <c r="J90" s="49"/>
      <c r="K90" s="49"/>
      <c r="L90" s="49"/>
    </row>
    <row r="91" spans="1:12" x14ac:dyDescent="0.25">
      <c r="A91" s="50"/>
      <c r="B91" s="1127" t="s">
        <v>2056</v>
      </c>
      <c r="C91" s="50"/>
      <c r="D91" s="50"/>
      <c r="E91" s="50"/>
      <c r="F91" s="49"/>
      <c r="G91" s="49"/>
      <c r="H91" s="49"/>
      <c r="I91" s="49"/>
      <c r="J91" s="49"/>
      <c r="K91" s="49"/>
      <c r="L91" s="49"/>
    </row>
    <row r="92" spans="1:12" x14ac:dyDescent="0.25">
      <c r="A92" s="50"/>
      <c r="B92" s="1127" t="s">
        <v>2057</v>
      </c>
      <c r="C92" s="50"/>
      <c r="D92" s="50"/>
      <c r="E92" s="50"/>
      <c r="F92" s="49"/>
      <c r="G92" s="49"/>
      <c r="H92" s="49"/>
      <c r="I92" s="49"/>
      <c r="J92" s="49"/>
      <c r="K92" s="49"/>
      <c r="L92" s="49"/>
    </row>
    <row r="93" spans="1:12" ht="12" customHeight="1" x14ac:dyDescent="0.25">
      <c r="A93" s="50"/>
      <c r="B93" s="50"/>
      <c r="C93" s="50"/>
      <c r="D93" s="50"/>
      <c r="E93" s="50"/>
      <c r="F93" s="49"/>
      <c r="G93" s="49"/>
      <c r="H93" s="49"/>
      <c r="I93" s="49"/>
      <c r="J93" s="49"/>
      <c r="K93" s="49"/>
      <c r="L93" s="49"/>
    </row>
    <row r="94" spans="1:12" ht="12" customHeight="1" x14ac:dyDescent="0.25">
      <c r="A94" s="50"/>
      <c r="B94" s="50"/>
      <c r="C94" s="50"/>
      <c r="D94" s="50"/>
      <c r="E94" s="50"/>
      <c r="F94" s="49"/>
      <c r="G94" s="49"/>
      <c r="H94" s="49"/>
      <c r="I94" s="49"/>
      <c r="J94" s="49"/>
      <c r="K94" s="49"/>
      <c r="L94" s="49"/>
    </row>
    <row r="95" spans="1:12" x14ac:dyDescent="0.25">
      <c r="A95" s="50"/>
      <c r="B95" s="604" t="s">
        <v>2053</v>
      </c>
      <c r="C95" s="50"/>
      <c r="D95" s="50"/>
      <c r="E95" s="50"/>
      <c r="F95" s="49"/>
      <c r="G95" s="49"/>
      <c r="H95" s="49"/>
      <c r="I95" s="49"/>
      <c r="J95" s="49"/>
      <c r="K95" s="49"/>
      <c r="L95" s="49"/>
    </row>
    <row r="96" spans="1:12" x14ac:dyDescent="0.25">
      <c r="A96" s="50"/>
      <c r="B96" s="50"/>
      <c r="C96" s="50"/>
      <c r="D96" s="50"/>
      <c r="E96" s="50"/>
      <c r="F96" s="49"/>
      <c r="G96" s="49"/>
      <c r="H96" s="49"/>
      <c r="I96" s="49"/>
      <c r="J96" s="49"/>
      <c r="K96" s="49"/>
      <c r="L96" s="49"/>
    </row>
    <row r="97" spans="1:12" ht="16.5" customHeight="1" x14ac:dyDescent="0.25">
      <c r="A97" s="50"/>
      <c r="B97" s="1582" t="s">
        <v>2043</v>
      </c>
      <c r="C97" s="1583"/>
      <c r="D97" s="1094"/>
      <c r="E97" s="50"/>
      <c r="F97" s="49"/>
      <c r="G97" s="49"/>
      <c r="H97" s="49"/>
      <c r="I97" s="49"/>
      <c r="J97" s="49"/>
      <c r="K97" s="49"/>
      <c r="L97" s="49"/>
    </row>
    <row r="98" spans="1:12" x14ac:dyDescent="0.25">
      <c r="A98" s="50"/>
      <c r="B98" s="50"/>
      <c r="C98" s="50"/>
      <c r="D98" s="50"/>
      <c r="E98" s="50"/>
      <c r="F98" s="49"/>
      <c r="G98" s="49"/>
      <c r="H98" s="49"/>
      <c r="I98" s="49"/>
      <c r="J98" s="49"/>
      <c r="K98" s="49"/>
      <c r="L98" s="49"/>
    </row>
    <row r="99" spans="1:12" ht="16.5" customHeight="1" x14ac:dyDescent="0.25">
      <c r="A99" s="50"/>
      <c r="B99" s="1582" t="s">
        <v>2044</v>
      </c>
      <c r="C99" s="1583"/>
      <c r="D99" s="1583"/>
      <c r="E99" s="1831"/>
      <c r="F99" s="1094"/>
      <c r="G99" s="49"/>
      <c r="H99" s="49"/>
      <c r="I99" s="49"/>
      <c r="J99" s="49"/>
      <c r="K99" s="49"/>
      <c r="L99" s="49"/>
    </row>
    <row r="100" spans="1:12" ht="16.5" customHeight="1" x14ac:dyDescent="0.25">
      <c r="A100" s="50"/>
      <c r="B100" s="1582" t="s">
        <v>2045</v>
      </c>
      <c r="C100" s="1583"/>
      <c r="D100" s="1583"/>
      <c r="E100" s="1831"/>
      <c r="F100" s="1094"/>
      <c r="G100" s="49"/>
      <c r="H100" s="49"/>
      <c r="I100" s="49"/>
      <c r="J100" s="49"/>
      <c r="K100" s="49"/>
      <c r="L100" s="49"/>
    </row>
    <row r="101" spans="1:12" ht="16.5" customHeight="1" x14ac:dyDescent="0.25">
      <c r="A101" s="50"/>
      <c r="B101" s="1582" t="s">
        <v>2046</v>
      </c>
      <c r="C101" s="1583"/>
      <c r="D101" s="1583"/>
      <c r="E101" s="1831"/>
      <c r="F101" s="1094"/>
      <c r="G101" s="49"/>
      <c r="H101" s="49"/>
      <c r="I101" s="49"/>
      <c r="J101" s="49"/>
      <c r="K101" s="49"/>
      <c r="L101" s="49"/>
    </row>
    <row r="102" spans="1:12" x14ac:dyDescent="0.25">
      <c r="A102" s="50"/>
      <c r="B102" s="50"/>
      <c r="C102" s="50"/>
      <c r="D102" s="50"/>
      <c r="E102" s="50"/>
      <c r="F102" s="49"/>
      <c r="G102" s="49"/>
      <c r="H102" s="49"/>
      <c r="I102" s="49"/>
      <c r="J102" s="49"/>
      <c r="K102" s="49"/>
      <c r="L102" s="49"/>
    </row>
    <row r="103" spans="1:12" x14ac:dyDescent="0.25">
      <c r="A103" s="50"/>
      <c r="B103" s="50" t="s">
        <v>2047</v>
      </c>
      <c r="C103" s="50"/>
      <c r="D103" s="50"/>
      <c r="E103" s="50"/>
      <c r="F103" s="49"/>
      <c r="G103" s="49"/>
      <c r="H103" s="49"/>
      <c r="I103" s="49"/>
      <c r="J103" s="49"/>
      <c r="K103" s="49"/>
      <c r="L103" s="49"/>
    </row>
    <row r="104" spans="1:12" ht="15.75" customHeight="1" x14ac:dyDescent="0.25">
      <c r="A104" s="50"/>
      <c r="B104" s="1582" t="s">
        <v>2048</v>
      </c>
      <c r="C104" s="1583"/>
      <c r="D104" s="1583"/>
      <c r="E104" s="1831"/>
      <c r="F104" s="1094"/>
      <c r="G104" s="49"/>
      <c r="H104" s="49"/>
      <c r="I104" s="49"/>
      <c r="J104" s="49"/>
      <c r="K104" s="49"/>
      <c r="L104" s="49"/>
    </row>
    <row r="105" spans="1:12" x14ac:dyDescent="0.25">
      <c r="A105" s="50"/>
      <c r="B105" s="50"/>
      <c r="C105" s="50"/>
      <c r="D105" s="50"/>
      <c r="E105" s="50"/>
      <c r="F105" s="49"/>
      <c r="G105" s="49"/>
      <c r="H105" s="49"/>
      <c r="I105" s="49"/>
      <c r="J105" s="49"/>
      <c r="K105" s="49"/>
      <c r="L105" s="49"/>
    </row>
    <row r="106" spans="1:12" ht="27" customHeight="1" x14ac:dyDescent="0.25">
      <c r="A106" s="50"/>
      <c r="B106" s="1685" t="s">
        <v>2049</v>
      </c>
      <c r="C106" s="1686"/>
      <c r="D106" s="1686"/>
      <c r="E106" s="1686"/>
      <c r="F106" s="1842"/>
      <c r="G106" s="1089"/>
      <c r="H106" s="49"/>
      <c r="I106" s="49"/>
      <c r="J106" s="49"/>
      <c r="K106" s="49"/>
      <c r="L106" s="49"/>
    </row>
    <row r="107" spans="1:12" x14ac:dyDescent="0.25">
      <c r="A107" s="50"/>
      <c r="B107" s="50"/>
      <c r="C107" s="50"/>
      <c r="D107" s="50"/>
      <c r="E107" s="50"/>
      <c r="F107" s="49"/>
      <c r="G107" s="49"/>
      <c r="H107" s="49"/>
      <c r="I107" s="49"/>
      <c r="J107" s="49"/>
      <c r="K107" s="49"/>
      <c r="L107" s="49"/>
    </row>
    <row r="108" spans="1:12" ht="19.5" customHeight="1" x14ac:dyDescent="0.25">
      <c r="A108" s="50"/>
      <c r="B108" s="1689" t="s">
        <v>2050</v>
      </c>
      <c r="C108" s="1690"/>
      <c r="D108" s="1691"/>
      <c r="E108" s="79">
        <f>IFERROR((F99+F100+F101+F104)/(D97-G106),0)</f>
        <v>0</v>
      </c>
      <c r="F108" s="49"/>
      <c r="G108" s="49"/>
      <c r="H108" s="49"/>
      <c r="I108" s="49"/>
      <c r="J108" s="49"/>
      <c r="K108" s="49"/>
      <c r="L108" s="49"/>
    </row>
    <row r="109" spans="1:12" ht="19.5" customHeight="1" x14ac:dyDescent="0.25">
      <c r="A109" s="50"/>
      <c r="B109" s="50"/>
      <c r="C109" s="50"/>
      <c r="D109" s="50"/>
      <c r="E109" s="50"/>
      <c r="F109" s="49"/>
      <c r="G109" s="49"/>
      <c r="H109" s="49"/>
      <c r="I109" s="49"/>
      <c r="J109" s="49"/>
      <c r="K109" s="49"/>
      <c r="L109" s="49"/>
    </row>
    <row r="110" spans="1:12" ht="16.5" customHeight="1" x14ac:dyDescent="0.25">
      <c r="A110" s="1592" t="s">
        <v>186</v>
      </c>
      <c r="B110" s="1592"/>
      <c r="C110" s="1592"/>
      <c r="D110" s="50"/>
      <c r="E110" s="50"/>
      <c r="F110" s="50"/>
      <c r="G110" s="50"/>
      <c r="H110" s="50"/>
      <c r="I110" s="50"/>
      <c r="J110" s="50"/>
      <c r="K110" s="50"/>
      <c r="L110" s="49"/>
    </row>
    <row r="111" spans="1:12" x14ac:dyDescent="0.25">
      <c r="A111" s="49"/>
      <c r="B111" s="50"/>
      <c r="C111" s="50"/>
      <c r="D111" s="50"/>
      <c r="E111" s="49"/>
      <c r="F111" s="49"/>
      <c r="G111" s="49"/>
      <c r="H111" s="49"/>
      <c r="I111" s="49"/>
      <c r="J111" s="49"/>
      <c r="K111" s="49"/>
      <c r="L111" s="49"/>
    </row>
    <row r="112" spans="1:12" ht="18" customHeight="1" x14ac:dyDescent="0.25">
      <c r="A112" s="49"/>
      <c r="B112" s="1582" t="s">
        <v>190</v>
      </c>
      <c r="C112" s="1583"/>
      <c r="D112" s="1583"/>
      <c r="E112" s="1583"/>
      <c r="F112" s="1583"/>
      <c r="G112" s="1088" t="s">
        <v>1737</v>
      </c>
      <c r="H112" s="1589" t="s">
        <v>1738</v>
      </c>
      <c r="I112" s="1590"/>
      <c r="J112" s="49"/>
      <c r="K112" s="49"/>
      <c r="L112" s="49"/>
    </row>
    <row r="113" spans="1:12" ht="24" customHeight="1" x14ac:dyDescent="0.25">
      <c r="A113" s="49"/>
      <c r="B113" s="1576" t="s">
        <v>2114</v>
      </c>
      <c r="C113" s="1577"/>
      <c r="D113" s="1577"/>
      <c r="E113" s="1577"/>
      <c r="F113" s="1578"/>
      <c r="G113" s="1089" t="s">
        <v>124</v>
      </c>
      <c r="H113" s="1763"/>
      <c r="I113" s="1841"/>
      <c r="J113" s="49"/>
      <c r="K113" s="49"/>
      <c r="L113" s="49"/>
    </row>
    <row r="114" spans="1:12" ht="27" customHeight="1" x14ac:dyDescent="0.25">
      <c r="A114" s="49"/>
      <c r="B114" s="1576" t="s">
        <v>2115</v>
      </c>
      <c r="C114" s="1577"/>
      <c r="D114" s="1577"/>
      <c r="E114" s="1577"/>
      <c r="F114" s="1578"/>
      <c r="G114" s="1089" t="s">
        <v>124</v>
      </c>
      <c r="H114" s="1763"/>
      <c r="I114" s="1841"/>
      <c r="J114" s="49"/>
      <c r="K114" s="49"/>
      <c r="L114" s="49"/>
    </row>
    <row r="115" spans="1:12" ht="19.5" customHeight="1" x14ac:dyDescent="0.25">
      <c r="A115" s="49"/>
      <c r="B115" s="49"/>
      <c r="C115" s="49"/>
      <c r="D115" s="49"/>
      <c r="E115" s="49"/>
      <c r="F115" s="49"/>
      <c r="G115" s="49"/>
      <c r="H115" s="49"/>
      <c r="I115" s="49"/>
      <c r="J115" s="49"/>
      <c r="K115" s="49"/>
      <c r="L115" s="49"/>
    </row>
    <row r="116" spans="1:12" ht="16.5" customHeight="1" x14ac:dyDescent="0.25">
      <c r="A116" s="1592" t="s">
        <v>22</v>
      </c>
      <c r="B116" s="1592"/>
      <c r="C116" s="1592"/>
      <c r="D116" s="49"/>
      <c r="E116" s="49"/>
      <c r="F116" s="49"/>
      <c r="G116" s="49"/>
      <c r="H116" s="49"/>
      <c r="I116" s="49"/>
      <c r="J116" s="49"/>
      <c r="K116" s="49"/>
      <c r="L116" s="49"/>
    </row>
    <row r="117" spans="1:12" x14ac:dyDescent="0.25">
      <c r="A117" s="50"/>
      <c r="B117" s="50"/>
      <c r="C117" s="50"/>
      <c r="D117" s="50"/>
      <c r="E117" s="50"/>
      <c r="F117" s="49"/>
      <c r="G117" s="49"/>
      <c r="H117" s="49"/>
      <c r="I117" s="49"/>
      <c r="J117" s="49"/>
      <c r="K117" s="49"/>
      <c r="L117" s="49"/>
    </row>
    <row r="118" spans="1:12" ht="18" customHeight="1" x14ac:dyDescent="0.25">
      <c r="A118" s="50"/>
      <c r="B118" s="171" t="s">
        <v>53</v>
      </c>
      <c r="C118" s="1328">
        <f>IF(E108=0,0,IF(E108&gt;=0.5,1,0))</f>
        <v>0</v>
      </c>
      <c r="D118" s="50"/>
      <c r="E118" s="50"/>
      <c r="F118" s="49"/>
      <c r="G118" s="49"/>
      <c r="H118" s="49"/>
      <c r="I118" s="49"/>
      <c r="J118" s="49"/>
      <c r="K118" s="49"/>
      <c r="L118" s="49"/>
    </row>
    <row r="119" spans="1:12" ht="18" customHeight="1" x14ac:dyDescent="0.25">
      <c r="A119" s="50"/>
      <c r="B119" s="171" t="s">
        <v>492</v>
      </c>
      <c r="C119" s="1328" t="str">
        <f>IF(AND(COUNTIF(L113:L114,"Yes")=1,C118&gt;0),"Yes","No")</f>
        <v>No</v>
      </c>
      <c r="D119" s="50"/>
      <c r="E119" s="50"/>
      <c r="F119" s="49"/>
      <c r="G119" s="49"/>
      <c r="H119" s="49"/>
      <c r="I119" s="49"/>
      <c r="J119" s="49"/>
      <c r="K119" s="49"/>
      <c r="L119" s="49"/>
    </row>
    <row r="120" spans="1:12" x14ac:dyDescent="0.25">
      <c r="A120" s="50"/>
      <c r="B120" s="50"/>
      <c r="C120" s="50"/>
      <c r="D120" s="50"/>
      <c r="E120" s="50"/>
      <c r="F120" s="49"/>
      <c r="G120" s="49"/>
      <c r="H120" s="49"/>
      <c r="I120" s="49"/>
      <c r="J120" s="49"/>
      <c r="K120" s="49"/>
      <c r="L120" s="49"/>
    </row>
    <row r="121" spans="1:12" hidden="1" x14ac:dyDescent="0.25">
      <c r="L121" s="49"/>
    </row>
    <row r="122" spans="1:12" hidden="1" x14ac:dyDescent="0.25"/>
  </sheetData>
  <sheetProtection algorithmName="SHA-512" hashValue="jh7E5gktE5mzyfsvVHgHBSFXU2fKmEZDVyidC87Uwf8jRWtinV9gBZiwSd0hiolRpsl7yp91DTiEQdd6OvY1DQ==" saltValue="6ue26pkXkTaKtpxSMLey6g==" spinCount="100000" sheet="1" objects="1" scenarios="1"/>
  <mergeCells count="64">
    <mergeCell ref="A116:C116"/>
    <mergeCell ref="A75:L75"/>
    <mergeCell ref="B89:J89"/>
    <mergeCell ref="H112:I112"/>
    <mergeCell ref="B113:F113"/>
    <mergeCell ref="H113:I113"/>
    <mergeCell ref="B114:F114"/>
    <mergeCell ref="H114:I114"/>
    <mergeCell ref="B104:E104"/>
    <mergeCell ref="B106:F106"/>
    <mergeCell ref="B108:D108"/>
    <mergeCell ref="A110:C110"/>
    <mergeCell ref="B112:F112"/>
    <mergeCell ref="B97:C97"/>
    <mergeCell ref="B99:E99"/>
    <mergeCell ref="B100:E100"/>
    <mergeCell ref="B101:E101"/>
    <mergeCell ref="A77:C77"/>
    <mergeCell ref="B81:J81"/>
    <mergeCell ref="B84:H84"/>
    <mergeCell ref="B85:G85"/>
    <mergeCell ref="B86:G86"/>
    <mergeCell ref="A18:C18"/>
    <mergeCell ref="A35:C35"/>
    <mergeCell ref="A64:C64"/>
    <mergeCell ref="A70:C70"/>
    <mergeCell ref="I59:K59"/>
    <mergeCell ref="I51:K51"/>
    <mergeCell ref="B68:F68"/>
    <mergeCell ref="B67:F67"/>
    <mergeCell ref="B62:E62"/>
    <mergeCell ref="I56:K56"/>
    <mergeCell ref="I55:K55"/>
    <mergeCell ref="I54:K54"/>
    <mergeCell ref="B66:F66"/>
    <mergeCell ref="H66:I66"/>
    <mergeCell ref="I47:K47"/>
    <mergeCell ref="I57:K57"/>
    <mergeCell ref="I45:K45"/>
    <mergeCell ref="I46:K46"/>
    <mergeCell ref="I58:K58"/>
    <mergeCell ref="I41:K41"/>
    <mergeCell ref="I42:K42"/>
    <mergeCell ref="A1:L1"/>
    <mergeCell ref="G2:J4"/>
    <mergeCell ref="A5:L7"/>
    <mergeCell ref="B11:E11"/>
    <mergeCell ref="B12:E12"/>
    <mergeCell ref="H67:I67"/>
    <mergeCell ref="H68:I68"/>
    <mergeCell ref="A9:L9"/>
    <mergeCell ref="I48:K48"/>
    <mergeCell ref="I49:K49"/>
    <mergeCell ref="I50:K50"/>
    <mergeCell ref="I52:K52"/>
    <mergeCell ref="I53:K53"/>
    <mergeCell ref="I44:K44"/>
    <mergeCell ref="I39:K39"/>
    <mergeCell ref="I40:K40"/>
    <mergeCell ref="B22:I23"/>
    <mergeCell ref="I43:K43"/>
    <mergeCell ref="B13:E13"/>
    <mergeCell ref="B14:E14"/>
    <mergeCell ref="A16:L16"/>
  </mergeCells>
  <conditionalFormatting sqref="F12:H12">
    <cfRule type="expression" dxfId="336" priority="21">
      <formula>OR(#REF!="No",#REF!="Không")</formula>
    </cfRule>
  </conditionalFormatting>
  <conditionalFormatting sqref="F12:H12">
    <cfRule type="expression" dxfId="335" priority="22">
      <formula>OR($D12="No",$D12="Không")</formula>
    </cfRule>
    <cfRule type="expression" dxfId="334" priority="23">
      <formula>OR(#REF!="No",#REF!="Không")</formula>
    </cfRule>
  </conditionalFormatting>
  <conditionalFormatting sqref="G12">
    <cfRule type="expression" dxfId="333" priority="18">
      <formula>OR(#REF!="No",#REF!="Không")</formula>
    </cfRule>
  </conditionalFormatting>
  <conditionalFormatting sqref="G12">
    <cfRule type="expression" dxfId="332" priority="16">
      <formula>OR($D12="No",$D12="Không")</formula>
    </cfRule>
    <cfRule type="expression" dxfId="331" priority="17">
      <formula>OR(#REF!="No",#REF!="Không")</formula>
    </cfRule>
  </conditionalFormatting>
  <conditionalFormatting sqref="H12">
    <cfRule type="expression" dxfId="330" priority="15">
      <formula>OR(#REF!="No",#REF!="Không")</formula>
    </cfRule>
  </conditionalFormatting>
  <conditionalFormatting sqref="H12">
    <cfRule type="expression" dxfId="329" priority="13">
      <formula>OR($D12="No",$D12="Không")</formula>
    </cfRule>
    <cfRule type="expression" dxfId="328" priority="14">
      <formula>OR(#REF!="No",#REF!="Không")</formula>
    </cfRule>
  </conditionalFormatting>
  <conditionalFormatting sqref="B12">
    <cfRule type="expression" dxfId="327" priority="29">
      <formula>$D$90="Option B"</formula>
    </cfRule>
  </conditionalFormatting>
  <conditionalFormatting sqref="B12">
    <cfRule type="expression" dxfId="326" priority="30">
      <formula>$D$90="No"</formula>
    </cfRule>
  </conditionalFormatting>
  <conditionalFormatting sqref="F13:H13">
    <cfRule type="expression" dxfId="325" priority="8">
      <formula>OR(#REF!="No",#REF!="Không")</formula>
    </cfRule>
  </conditionalFormatting>
  <conditionalFormatting sqref="F13:H13">
    <cfRule type="expression" dxfId="324" priority="9">
      <formula>OR($D13="No",$D13="Không")</formula>
    </cfRule>
    <cfRule type="expression" dxfId="323" priority="10">
      <formula>OR(#REF!="No",#REF!="Không")</formula>
    </cfRule>
  </conditionalFormatting>
  <conditionalFormatting sqref="G13">
    <cfRule type="expression" dxfId="322" priority="7">
      <formula>OR(#REF!="No",#REF!="Không")</formula>
    </cfRule>
  </conditionalFormatting>
  <conditionalFormatting sqref="G13">
    <cfRule type="expression" dxfId="321" priority="5">
      <formula>OR($D13="No",$D13="Không")</formula>
    </cfRule>
    <cfRule type="expression" dxfId="320" priority="6">
      <formula>OR(#REF!="No",#REF!="Không")</formula>
    </cfRule>
  </conditionalFormatting>
  <conditionalFormatting sqref="H13">
    <cfRule type="expression" dxfId="319" priority="4">
      <formula>OR(#REF!="No",#REF!="Không")</formula>
    </cfRule>
  </conditionalFormatting>
  <conditionalFormatting sqref="H13">
    <cfRule type="expression" dxfId="318" priority="2">
      <formula>OR($D13="No",$D13="Không")</formula>
    </cfRule>
    <cfRule type="expression" dxfId="317" priority="3">
      <formula>OR(#REF!="No",#REF!="Không")</formula>
    </cfRule>
  </conditionalFormatting>
  <conditionalFormatting sqref="B13">
    <cfRule type="expression" dxfId="316" priority="11">
      <formula>$D$104="Option B"</formula>
    </cfRule>
  </conditionalFormatting>
  <conditionalFormatting sqref="B13">
    <cfRule type="expression" dxfId="315" priority="12">
      <formula>$D$104="No"</formula>
    </cfRule>
  </conditionalFormatting>
  <conditionalFormatting sqref="G113:G114">
    <cfRule type="expression" dxfId="314" priority="1">
      <formula>$B113="No evidence required at this submission stage"</formula>
    </cfRule>
  </conditionalFormatting>
  <dataValidations count="6">
    <dataValidation allowBlank="1" showInputMessage="1" showErrorMessage="1" prompt="Total rated-power of all the appliances and equipment [W]" sqref="H60 H39" xr:uid="{00000000-0002-0000-1100-000000000000}"/>
    <dataValidation allowBlank="1" showInputMessage="1" showErrorMessage="1" prompt="Total rated-power of all the energy efficient appliances and equipment [W]" sqref="G60 G39" xr:uid="{00000000-0002-0000-1100-000001000000}"/>
    <dataValidation type="list" allowBlank="1" showInputMessage="1" showErrorMessage="1" sqref="F40:F59" xr:uid="{00000000-0002-0000-1100-000002000000}">
      <formula1>"Select,Yes,No"</formula1>
    </dataValidation>
    <dataValidation type="list" allowBlank="1" showInputMessage="1" showErrorMessage="1" sqref="G67:G68 G113:G114" xr:uid="{00000000-0002-0000-1100-000003000000}">
      <formula1>"Select,Submitted,Not submitted"</formula1>
    </dataValidation>
    <dataValidation type="list" allowBlank="1" showInputMessage="1" showErrorMessage="1" sqref="B40:B59" xr:uid="{00000000-0002-0000-1100-000004000000}">
      <formula1>"Select,washing machines,refrigerator and freezers,dishwashers,fans,televisions,computers,displays,rice cookers"</formula1>
    </dataValidation>
    <dataValidation allowBlank="1" showInputMessage="1" showErrorMessage="1" prompt="Provide details on the performance of the appliance/equipment as regards to energy efficiency labels." sqref="I40:K59" xr:uid="{00000000-0002-0000-1100-000005000000}"/>
  </dataValidations>
  <hyperlinks>
    <hyperlink ref="L4" location="'Energy BPC'!B3" tooltip="BPC" display="BPC" xr:uid="{00000000-0004-0000-1100-000000000000}"/>
    <hyperlink ref="L2" location="'E-4 Artificial Lighting'!D3" tooltip="E-4" display="E-4" xr:uid="{00000000-0004-0000-1100-000001000000}"/>
    <hyperlink ref="K2" location="'E-1 Passive Design'!B3" tooltip="E-1" display="E-1" xr:uid="{00000000-0004-0000-1100-000002000000}"/>
    <hyperlink ref="K3" location="'E-2 Building Envelope'!B3" tooltip="E-2" display="E-2" xr:uid="{00000000-0004-0000-1100-000003000000}"/>
    <hyperlink ref="K4" location="'E-3 Building Cooling'!B3" tooltip="E-3" display="E-3" xr:uid="{00000000-0004-0000-1100-000004000000}"/>
    <hyperlink ref="L3" location="'E-6 Energy Monitor'!B3" tooltip="E-6" display="E-6" xr:uid="{00000000-0004-0000-1100-000005000000}"/>
  </hyperlink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tabColor rgb="FF58B527"/>
  </sheetPr>
  <dimension ref="A1:M68"/>
  <sheetViews>
    <sheetView showRowColHeaders="0" workbookViewId="0">
      <pane ySplit="8" topLeftCell="A9" activePane="bottomLeft" state="frozen"/>
      <selection activeCell="E9" sqref="E9:F9"/>
      <selection pane="bottomLeft" activeCell="D3" sqref="D3"/>
    </sheetView>
  </sheetViews>
  <sheetFormatPr defaultColWidth="0" defaultRowHeight="15" zeroHeight="1" x14ac:dyDescent="0.25"/>
  <cols>
    <col min="1" max="1" width="4.140625" style="38" customWidth="1"/>
    <col min="2" max="5" width="20.7109375" style="38" customWidth="1"/>
    <col min="6" max="8" width="18.7109375" style="38" customWidth="1"/>
    <col min="9" max="11" width="8.7109375" style="38" customWidth="1"/>
    <col min="12" max="12" width="9.140625" style="38" hidden="1" customWidth="1"/>
    <col min="13" max="13" width="35.28515625" style="38" hidden="1" customWidth="1"/>
    <col min="14" max="16384" width="9.140625" style="38" hidden="1"/>
  </cols>
  <sheetData>
    <row r="1" spans="1:13" ht="25.5" customHeight="1" x14ac:dyDescent="0.25">
      <c r="A1" s="1584" t="s">
        <v>2223</v>
      </c>
      <c r="B1" s="1584"/>
      <c r="C1" s="1584"/>
      <c r="D1" s="1584"/>
      <c r="E1" s="1584"/>
      <c r="F1" s="1584"/>
      <c r="G1" s="1584"/>
      <c r="H1" s="1584"/>
      <c r="I1" s="1584"/>
      <c r="J1" s="1584"/>
      <c r="K1" s="1584"/>
      <c r="L1" s="88"/>
    </row>
    <row r="2" spans="1:13" ht="15" customHeight="1" x14ac:dyDescent="0.25">
      <c r="A2" s="50"/>
      <c r="B2" s="50"/>
      <c r="C2" s="50"/>
      <c r="D2" s="50"/>
      <c r="E2" s="50"/>
      <c r="F2" s="49"/>
      <c r="G2" s="1585" t="s">
        <v>512</v>
      </c>
      <c r="H2" s="1585"/>
      <c r="I2" s="1585"/>
      <c r="J2" s="212" t="s">
        <v>59</v>
      </c>
      <c r="K2" s="212" t="s">
        <v>70</v>
      </c>
      <c r="L2" s="49"/>
    </row>
    <row r="3" spans="1:13" ht="15" customHeight="1" x14ac:dyDescent="0.25">
      <c r="A3" s="50"/>
      <c r="B3" s="50"/>
      <c r="C3" s="50"/>
      <c r="D3" s="50"/>
      <c r="E3" s="50"/>
      <c r="F3" s="49"/>
      <c r="G3" s="1585"/>
      <c r="H3" s="1585"/>
      <c r="I3" s="1585"/>
      <c r="J3" s="212" t="s">
        <v>63</v>
      </c>
      <c r="K3" s="212" t="s">
        <v>74</v>
      </c>
      <c r="L3" s="49"/>
    </row>
    <row r="4" spans="1:13" ht="15" customHeight="1" x14ac:dyDescent="0.25">
      <c r="A4" s="50"/>
      <c r="B4" s="50"/>
      <c r="C4" s="50"/>
      <c r="D4" s="50"/>
      <c r="E4" s="50"/>
      <c r="F4" s="49"/>
      <c r="G4" s="1586"/>
      <c r="H4" s="1586"/>
      <c r="I4" s="1586"/>
      <c r="J4" s="212" t="s">
        <v>67</v>
      </c>
      <c r="K4" s="212" t="s">
        <v>76</v>
      </c>
      <c r="L4" s="49"/>
    </row>
    <row r="5" spans="1:13" ht="17.25" customHeight="1" x14ac:dyDescent="0.25">
      <c r="A5" s="1600" t="s">
        <v>2573</v>
      </c>
      <c r="B5" s="1601"/>
      <c r="C5" s="1601"/>
      <c r="D5" s="1601"/>
      <c r="E5" s="1601"/>
      <c r="F5" s="1601"/>
      <c r="G5" s="1601"/>
      <c r="H5" s="1601"/>
      <c r="I5" s="1601"/>
      <c r="J5" s="1601"/>
      <c r="K5" s="1601"/>
      <c r="L5" s="172"/>
      <c r="M5" s="173"/>
    </row>
    <row r="6" spans="1:13" ht="17.25" customHeight="1" x14ac:dyDescent="0.25">
      <c r="A6" s="1603"/>
      <c r="B6" s="1604"/>
      <c r="C6" s="1604"/>
      <c r="D6" s="1604"/>
      <c r="E6" s="1604"/>
      <c r="F6" s="1604"/>
      <c r="G6" s="1604"/>
      <c r="H6" s="1604"/>
      <c r="I6" s="1604"/>
      <c r="J6" s="1604"/>
      <c r="K6" s="1604"/>
      <c r="L6" s="174"/>
      <c r="M6" s="175"/>
    </row>
    <row r="7" spans="1:13" ht="17.25" customHeight="1" x14ac:dyDescent="0.25">
      <c r="A7" s="1606"/>
      <c r="B7" s="1607"/>
      <c r="C7" s="1607"/>
      <c r="D7" s="1607"/>
      <c r="E7" s="1607"/>
      <c r="F7" s="1607"/>
      <c r="G7" s="1607"/>
      <c r="H7" s="1607"/>
      <c r="I7" s="1607"/>
      <c r="J7" s="1607"/>
      <c r="K7" s="1607"/>
      <c r="L7" s="176"/>
      <c r="M7" s="177"/>
    </row>
    <row r="8" spans="1:13" ht="12" customHeight="1" x14ac:dyDescent="0.25">
      <c r="A8" s="49"/>
      <c r="B8" s="50"/>
      <c r="C8" s="50"/>
      <c r="D8" s="50"/>
      <c r="E8" s="50"/>
      <c r="F8" s="49"/>
      <c r="G8" s="49"/>
      <c r="H8" s="49"/>
      <c r="I8" s="49"/>
      <c r="J8" s="49"/>
      <c r="K8" s="49"/>
      <c r="L8" s="49"/>
      <c r="M8" s="49"/>
    </row>
    <row r="9" spans="1:13" ht="18" customHeight="1" x14ac:dyDescent="0.25">
      <c r="A9" s="1591" t="s">
        <v>177</v>
      </c>
      <c r="B9" s="1591"/>
      <c r="C9" s="1591"/>
      <c r="D9" s="1591"/>
      <c r="E9" s="1591"/>
      <c r="F9" s="1591"/>
      <c r="G9" s="1591"/>
      <c r="H9" s="1591"/>
      <c r="I9" s="1591"/>
      <c r="J9" s="1591"/>
      <c r="K9" s="1591"/>
      <c r="L9" s="89"/>
    </row>
    <row r="10" spans="1:13" ht="16.5" customHeight="1" x14ac:dyDescent="0.25">
      <c r="A10" s="49"/>
      <c r="B10" s="50"/>
      <c r="C10" s="50"/>
      <c r="D10" s="50"/>
      <c r="E10" s="50"/>
      <c r="F10" s="49"/>
      <c r="G10" s="49"/>
      <c r="H10" s="49"/>
      <c r="I10" s="49"/>
      <c r="J10" s="49"/>
      <c r="K10" s="49"/>
      <c r="L10" s="49"/>
    </row>
    <row r="11" spans="1:13" ht="19.5" customHeight="1" x14ac:dyDescent="0.25">
      <c r="A11" s="49"/>
      <c r="B11" s="1609" t="s">
        <v>178</v>
      </c>
      <c r="C11" s="1610"/>
      <c r="D11" s="1610"/>
      <c r="E11" s="1610"/>
      <c r="F11" s="442" t="s">
        <v>152</v>
      </c>
      <c r="G11" s="442" t="s">
        <v>53</v>
      </c>
      <c r="H11" s="90" t="s">
        <v>492</v>
      </c>
      <c r="I11" s="49"/>
      <c r="J11" s="49"/>
      <c r="K11" s="49"/>
      <c r="L11" s="49"/>
    </row>
    <row r="12" spans="1:13" ht="21" customHeight="1" x14ac:dyDescent="0.25">
      <c r="A12" s="49"/>
      <c r="B12" s="1819" t="s">
        <v>1763</v>
      </c>
      <c r="C12" s="1820"/>
      <c r="D12" s="1820"/>
      <c r="E12" s="1821"/>
      <c r="F12" s="55">
        <v>1</v>
      </c>
      <c r="G12" s="55">
        <f>C40</f>
        <v>0</v>
      </c>
      <c r="H12" s="55" t="str">
        <f>C41</f>
        <v>No</v>
      </c>
      <c r="I12" s="49"/>
      <c r="J12" s="49"/>
      <c r="K12" s="49"/>
      <c r="L12" s="49"/>
    </row>
    <row r="13" spans="1:13" ht="16.5" customHeight="1" x14ac:dyDescent="0.25">
      <c r="A13" s="50"/>
      <c r="B13" s="50"/>
      <c r="C13" s="50"/>
      <c r="D13" s="50"/>
      <c r="E13" s="50"/>
      <c r="F13" s="49"/>
      <c r="G13" s="49"/>
      <c r="H13" s="49"/>
      <c r="I13" s="49"/>
      <c r="J13" s="49"/>
      <c r="K13" s="49"/>
      <c r="L13" s="49"/>
    </row>
    <row r="14" spans="1:13" ht="18" customHeight="1" x14ac:dyDescent="0.25">
      <c r="A14" s="1591" t="s">
        <v>245</v>
      </c>
      <c r="B14" s="1591"/>
      <c r="C14" s="1591"/>
      <c r="D14" s="1591"/>
      <c r="E14" s="1591"/>
      <c r="F14" s="1591"/>
      <c r="G14" s="1591"/>
      <c r="H14" s="1591"/>
      <c r="I14" s="1591"/>
      <c r="J14" s="1591"/>
      <c r="K14" s="1591"/>
      <c r="L14" s="89"/>
    </row>
    <row r="15" spans="1:13" ht="12" customHeight="1" x14ac:dyDescent="0.25">
      <c r="A15" s="50"/>
      <c r="B15" s="50"/>
      <c r="C15" s="50"/>
      <c r="D15" s="50"/>
      <c r="E15" s="50"/>
      <c r="F15" s="50"/>
      <c r="G15" s="50"/>
      <c r="H15" s="50"/>
      <c r="I15" s="50"/>
      <c r="J15" s="50"/>
      <c r="K15" s="50"/>
      <c r="L15" s="50"/>
    </row>
    <row r="16" spans="1:13" ht="15" customHeight="1" x14ac:dyDescent="0.25">
      <c r="A16" s="50"/>
      <c r="B16" s="566" t="s">
        <v>1764</v>
      </c>
      <c r="C16" s="50"/>
      <c r="D16" s="50"/>
      <c r="E16" s="50"/>
      <c r="F16" s="50"/>
      <c r="G16" s="50"/>
      <c r="H16" s="50"/>
      <c r="I16" s="50"/>
      <c r="J16" s="50"/>
      <c r="K16" s="50"/>
      <c r="L16" s="50"/>
    </row>
    <row r="17" spans="1:13" ht="15" customHeight="1" x14ac:dyDescent="0.25">
      <c r="A17" s="50"/>
      <c r="B17" s="566"/>
      <c r="C17" s="50"/>
      <c r="D17" s="50"/>
      <c r="E17" s="50"/>
      <c r="F17" s="50"/>
      <c r="G17" s="50"/>
      <c r="H17" s="50"/>
      <c r="I17" s="50"/>
      <c r="J17" s="50"/>
      <c r="K17" s="50"/>
      <c r="L17" s="50"/>
    </row>
    <row r="18" spans="1:13" ht="15" customHeight="1" x14ac:dyDescent="0.25">
      <c r="A18" s="50"/>
      <c r="B18" s="569" t="s">
        <v>1765</v>
      </c>
      <c r="C18" s="570"/>
      <c r="D18" s="570"/>
      <c r="E18" s="570"/>
      <c r="F18" s="570"/>
      <c r="G18" s="570"/>
      <c r="H18" s="571"/>
      <c r="I18" s="50"/>
      <c r="J18" s="50"/>
      <c r="K18" s="50"/>
      <c r="L18" s="50"/>
    </row>
    <row r="19" spans="1:13" ht="15" customHeight="1" x14ac:dyDescent="0.25">
      <c r="A19" s="50"/>
      <c r="B19" s="572" t="s">
        <v>1053</v>
      </c>
      <c r="C19" s="567"/>
      <c r="D19" s="567"/>
      <c r="E19" s="567"/>
      <c r="F19" s="567"/>
      <c r="G19" s="567"/>
      <c r="H19" s="573"/>
      <c r="I19" s="50"/>
      <c r="J19" s="50"/>
      <c r="K19" s="50"/>
      <c r="L19" s="50"/>
    </row>
    <row r="20" spans="1:13" ht="15" customHeight="1" x14ac:dyDescent="0.25">
      <c r="A20" s="50"/>
      <c r="B20" s="572" t="s">
        <v>1054</v>
      </c>
      <c r="C20" s="567"/>
      <c r="D20" s="567"/>
      <c r="E20" s="567"/>
      <c r="F20" s="567"/>
      <c r="G20" s="567"/>
      <c r="H20" s="573"/>
      <c r="I20" s="50"/>
      <c r="J20" s="50"/>
      <c r="K20" s="50"/>
      <c r="L20" s="50"/>
    </row>
    <row r="21" spans="1:13" ht="15" customHeight="1" x14ac:dyDescent="0.25">
      <c r="A21" s="50"/>
      <c r="B21" s="574" t="s">
        <v>1055</v>
      </c>
      <c r="C21" s="575"/>
      <c r="D21" s="575"/>
      <c r="E21" s="575"/>
      <c r="F21" s="575"/>
      <c r="G21" s="575"/>
      <c r="H21" s="576"/>
      <c r="I21" s="50"/>
      <c r="J21" s="50"/>
      <c r="K21" s="50"/>
      <c r="L21" s="50"/>
    </row>
    <row r="22" spans="1:13" ht="18.75" customHeight="1" x14ac:dyDescent="0.25">
      <c r="A22" s="50"/>
      <c r="B22" s="50"/>
      <c r="C22" s="50"/>
      <c r="D22" s="50"/>
      <c r="E22" s="50"/>
      <c r="F22" s="50"/>
      <c r="G22" s="50"/>
      <c r="H22" s="50"/>
      <c r="I22" s="50"/>
      <c r="J22" s="50"/>
      <c r="K22" s="50"/>
      <c r="L22" s="50"/>
    </row>
    <row r="23" spans="1:13" ht="15" customHeight="1" x14ac:dyDescent="0.25">
      <c r="A23" s="50"/>
      <c r="B23" s="1597" t="s">
        <v>1052</v>
      </c>
      <c r="C23" s="1844"/>
      <c r="D23" s="1844"/>
      <c r="E23" s="1844"/>
      <c r="F23" s="1844"/>
      <c r="G23" s="50"/>
      <c r="H23" s="50"/>
      <c r="I23" s="50"/>
      <c r="J23" s="50"/>
      <c r="K23" s="50"/>
      <c r="L23" s="50"/>
    </row>
    <row r="24" spans="1:13" ht="9" customHeight="1" x14ac:dyDescent="0.25">
      <c r="A24" s="50"/>
      <c r="B24" s="568"/>
      <c r="C24" s="560"/>
      <c r="D24" s="560"/>
      <c r="E24" s="560"/>
      <c r="F24" s="560"/>
      <c r="G24" s="50"/>
      <c r="H24" s="50"/>
      <c r="I24" s="50"/>
      <c r="J24" s="50"/>
      <c r="K24" s="50"/>
      <c r="L24" s="50"/>
    </row>
    <row r="25" spans="1:13" ht="18" customHeight="1" x14ac:dyDescent="0.25">
      <c r="A25" s="50"/>
      <c r="B25" s="1843" t="s">
        <v>2375</v>
      </c>
      <c r="C25" s="1843"/>
      <c r="D25" s="1843"/>
      <c r="E25" s="1843"/>
      <c r="F25" s="1843"/>
      <c r="G25" s="1164" t="s">
        <v>124</v>
      </c>
      <c r="H25" s="50"/>
      <c r="I25" s="50"/>
      <c r="J25" s="50"/>
      <c r="K25" s="50"/>
      <c r="L25" s="50"/>
      <c r="M25" s="61" t="b">
        <v>0</v>
      </c>
    </row>
    <row r="26" spans="1:13" ht="18" customHeight="1" x14ac:dyDescent="0.25">
      <c r="A26" s="50"/>
      <c r="B26" s="1843" t="s">
        <v>1244</v>
      </c>
      <c r="C26" s="1843"/>
      <c r="D26" s="1843"/>
      <c r="E26" s="1843"/>
      <c r="F26" s="1843"/>
      <c r="G26" s="1180" t="s">
        <v>124</v>
      </c>
      <c r="H26" s="50"/>
      <c r="I26" s="50"/>
      <c r="J26" s="50"/>
      <c r="K26" s="50"/>
      <c r="L26" s="50"/>
      <c r="M26" s="61" t="b">
        <v>0</v>
      </c>
    </row>
    <row r="27" spans="1:13" ht="18" customHeight="1" x14ac:dyDescent="0.25">
      <c r="A27" s="50"/>
      <c r="B27" s="1843" t="s">
        <v>1243</v>
      </c>
      <c r="C27" s="1843"/>
      <c r="D27" s="1843"/>
      <c r="E27" s="1843"/>
      <c r="F27" s="1843"/>
      <c r="G27" s="1180" t="s">
        <v>124</v>
      </c>
      <c r="H27" s="50"/>
      <c r="I27" s="50"/>
      <c r="J27" s="50"/>
      <c r="K27" s="50"/>
      <c r="L27" s="50"/>
      <c r="M27" s="61" t="b">
        <v>0</v>
      </c>
    </row>
    <row r="28" spans="1:13" ht="18" customHeight="1" x14ac:dyDescent="0.25">
      <c r="A28" s="50"/>
      <c r="B28" s="1843" t="s">
        <v>1245</v>
      </c>
      <c r="C28" s="1843"/>
      <c r="D28" s="1843"/>
      <c r="E28" s="1843"/>
      <c r="F28" s="1843"/>
      <c r="G28" s="1180" t="s">
        <v>124</v>
      </c>
      <c r="H28" s="50"/>
      <c r="I28" s="50"/>
      <c r="J28" s="50"/>
      <c r="K28" s="50"/>
      <c r="L28" s="50"/>
      <c r="M28" s="61" t="b">
        <v>0</v>
      </c>
    </row>
    <row r="29" spans="1:13" ht="15" customHeight="1" x14ac:dyDescent="0.25">
      <c r="A29" s="50"/>
      <c r="B29" s="50"/>
      <c r="C29" s="50"/>
      <c r="D29" s="50"/>
      <c r="E29" s="50"/>
      <c r="F29" s="50"/>
      <c r="G29" s="50"/>
      <c r="H29" s="50"/>
      <c r="I29" s="50"/>
      <c r="J29" s="50"/>
      <c r="K29" s="50"/>
      <c r="L29" s="50"/>
    </row>
    <row r="30" spans="1:13" ht="18" customHeight="1" x14ac:dyDescent="0.25">
      <c r="A30" s="50"/>
      <c r="B30" s="1623" t="s">
        <v>260</v>
      </c>
      <c r="C30" s="1623"/>
      <c r="D30" s="194" t="str">
        <f>IF(COUNTIF(G25:G28,"Yes")=4,"Yes","No")</f>
        <v>No</v>
      </c>
      <c r="E30" s="50"/>
      <c r="F30" s="50"/>
      <c r="G30" s="50"/>
      <c r="H30" s="50"/>
      <c r="I30" s="50"/>
      <c r="J30" s="50"/>
      <c r="K30" s="50"/>
      <c r="L30" s="50"/>
    </row>
    <row r="31" spans="1:13" ht="21" customHeight="1" x14ac:dyDescent="0.25">
      <c r="A31" s="50"/>
      <c r="B31" s="50"/>
      <c r="C31" s="50"/>
      <c r="D31" s="50"/>
      <c r="E31" s="50"/>
      <c r="F31" s="50"/>
      <c r="G31" s="50"/>
      <c r="H31" s="50"/>
      <c r="I31" s="50"/>
      <c r="J31" s="50"/>
      <c r="K31" s="50"/>
      <c r="L31" s="50"/>
    </row>
    <row r="32" spans="1:13" ht="18.75" customHeight="1" x14ac:dyDescent="0.25">
      <c r="A32" s="1591" t="s">
        <v>186</v>
      </c>
      <c r="B32" s="1591"/>
      <c r="C32" s="1591"/>
      <c r="D32" s="1591"/>
      <c r="E32" s="1591"/>
      <c r="F32" s="1591"/>
      <c r="G32" s="1591"/>
      <c r="H32" s="1591"/>
      <c r="I32" s="1591"/>
      <c r="J32" s="1591"/>
      <c r="K32" s="1591"/>
      <c r="L32" s="89"/>
    </row>
    <row r="33" spans="1:12" ht="16.5" customHeight="1" x14ac:dyDescent="0.25">
      <c r="A33" s="49"/>
      <c r="B33" s="50"/>
      <c r="C33" s="50"/>
      <c r="D33" s="50"/>
      <c r="E33" s="49"/>
      <c r="F33" s="49"/>
      <c r="G33" s="49"/>
      <c r="H33" s="49"/>
      <c r="I33" s="49"/>
      <c r="J33" s="49"/>
      <c r="K33" s="49"/>
      <c r="L33" s="49"/>
    </row>
    <row r="34" spans="1:12" ht="18" customHeight="1" x14ac:dyDescent="0.25">
      <c r="A34" s="49"/>
      <c r="B34" s="1582" t="s">
        <v>1739</v>
      </c>
      <c r="C34" s="1583"/>
      <c r="D34" s="1583"/>
      <c r="E34" s="1583"/>
      <c r="F34" s="1583"/>
      <c r="G34" s="934" t="s">
        <v>1737</v>
      </c>
      <c r="H34" s="1589" t="s">
        <v>1738</v>
      </c>
      <c r="I34" s="1590"/>
      <c r="J34" s="49"/>
      <c r="K34" s="49"/>
      <c r="L34" s="49"/>
    </row>
    <row r="35" spans="1:12" ht="24" customHeight="1" x14ac:dyDescent="0.25">
      <c r="A35" s="49"/>
      <c r="B35" s="1576" t="s">
        <v>1248</v>
      </c>
      <c r="C35" s="1577"/>
      <c r="D35" s="1577"/>
      <c r="E35" s="1577"/>
      <c r="F35" s="1578"/>
      <c r="G35" s="471" t="s">
        <v>124</v>
      </c>
      <c r="H35" s="1587"/>
      <c r="I35" s="1588"/>
      <c r="J35" s="49"/>
      <c r="K35" s="49"/>
      <c r="L35" s="49"/>
    </row>
    <row r="36" spans="1:12" ht="30" customHeight="1" x14ac:dyDescent="0.25">
      <c r="A36" s="49"/>
      <c r="B36" s="1576" t="s">
        <v>1060</v>
      </c>
      <c r="C36" s="1577"/>
      <c r="D36" s="1577"/>
      <c r="E36" s="1577"/>
      <c r="F36" s="1578"/>
      <c r="G36" s="565" t="s">
        <v>124</v>
      </c>
      <c r="H36" s="1587"/>
      <c r="I36" s="1588"/>
      <c r="J36" s="49"/>
      <c r="K36" s="49"/>
      <c r="L36" s="49"/>
    </row>
    <row r="37" spans="1:12" ht="19.5" customHeight="1" x14ac:dyDescent="0.25">
      <c r="A37" s="49"/>
      <c r="B37" s="50"/>
      <c r="C37" s="50"/>
      <c r="D37" s="50"/>
      <c r="E37" s="49"/>
      <c r="F37" s="49"/>
      <c r="G37" s="49"/>
      <c r="H37" s="49"/>
      <c r="I37" s="49"/>
      <c r="J37" s="49"/>
      <c r="K37" s="49"/>
      <c r="L37" s="49"/>
    </row>
    <row r="38" spans="1:12" ht="18" customHeight="1" x14ac:dyDescent="0.25">
      <c r="A38" s="1591" t="s">
        <v>22</v>
      </c>
      <c r="B38" s="1591"/>
      <c r="C38" s="1591"/>
      <c r="D38" s="1591"/>
      <c r="E38" s="1591"/>
      <c r="F38" s="1591"/>
      <c r="G38" s="1591"/>
      <c r="H38" s="1591"/>
      <c r="I38" s="1591"/>
      <c r="J38" s="1591"/>
      <c r="K38" s="1591"/>
      <c r="L38" s="89"/>
    </row>
    <row r="39" spans="1:12" ht="15" customHeight="1" x14ac:dyDescent="0.25">
      <c r="A39" s="50"/>
      <c r="B39" s="50"/>
      <c r="C39" s="50"/>
      <c r="D39" s="50"/>
      <c r="E39" s="50"/>
      <c r="F39" s="50"/>
      <c r="G39" s="50"/>
      <c r="H39" s="50"/>
      <c r="I39" s="50"/>
      <c r="J39" s="50"/>
      <c r="K39" s="50"/>
      <c r="L39" s="50"/>
    </row>
    <row r="40" spans="1:12" ht="18" customHeight="1" x14ac:dyDescent="0.25">
      <c r="A40" s="50"/>
      <c r="B40" s="171" t="s">
        <v>53</v>
      </c>
      <c r="C40" s="1328">
        <f>IF(D30="No",0,1)</f>
        <v>0</v>
      </c>
      <c r="D40" s="50"/>
      <c r="E40" s="50"/>
      <c r="F40" s="50"/>
      <c r="G40" s="50"/>
      <c r="H40" s="50"/>
      <c r="I40" s="50"/>
      <c r="J40" s="50"/>
      <c r="K40" s="50"/>
      <c r="L40" s="50"/>
    </row>
    <row r="41" spans="1:12" ht="18" customHeight="1" x14ac:dyDescent="0.25">
      <c r="A41" s="50"/>
      <c r="B41" s="171" t="s">
        <v>492</v>
      </c>
      <c r="C41" s="1328" t="str">
        <f>IF(AND(COUNTIF(G35:G36,"Submitted")=2,C40&gt;0),"Yes","No")</f>
        <v>No</v>
      </c>
      <c r="D41" s="50"/>
      <c r="E41" s="50"/>
      <c r="F41" s="50"/>
      <c r="G41" s="50"/>
      <c r="H41" s="50"/>
      <c r="I41" s="50"/>
      <c r="J41" s="50"/>
      <c r="K41" s="50"/>
      <c r="L41" s="50"/>
    </row>
    <row r="42" spans="1:12" ht="15" customHeight="1" x14ac:dyDescent="0.25">
      <c r="A42" s="50"/>
      <c r="B42" s="50"/>
      <c r="C42" s="50"/>
      <c r="D42" s="50"/>
      <c r="E42" s="50"/>
      <c r="F42" s="50"/>
      <c r="G42" s="50"/>
      <c r="H42" s="50"/>
      <c r="I42" s="50"/>
      <c r="J42" s="50"/>
      <c r="K42" s="50"/>
      <c r="L42" s="50"/>
    </row>
    <row r="43" spans="1:12" ht="15" hidden="1" customHeight="1" x14ac:dyDescent="0.25">
      <c r="A43" s="50"/>
      <c r="B43" s="50"/>
      <c r="C43" s="50"/>
      <c r="D43" s="50"/>
      <c r="E43" s="50"/>
      <c r="F43" s="50"/>
      <c r="G43" s="50"/>
      <c r="H43" s="50"/>
      <c r="I43" s="50"/>
      <c r="J43" s="50"/>
      <c r="K43" s="50"/>
      <c r="L43" s="50"/>
    </row>
    <row r="44" spans="1:12" hidden="1" x14ac:dyDescent="0.25"/>
    <row r="45" spans="1:12" hidden="1" x14ac:dyDescent="0.25"/>
    <row r="46" spans="1:12" hidden="1" x14ac:dyDescent="0.25"/>
    <row r="47" spans="1:12" hidden="1" x14ac:dyDescent="0.25"/>
    <row r="48" spans="1:12"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sheetData>
  <sheetProtection algorithmName="SHA-512" hashValue="cxd8cFcwv2dLkurZikUMcXkIMe2V0VFXAq5es9gwdkvs7SeTCKCy44Dg1vVGtyAi6mSwvzMBuPueyF8kEoDLWQ==" saltValue="RNzU/VKkWVCISjVjgidF3w==" spinCount="100000" sheet="1" objects="1" scenarios="1"/>
  <mergeCells count="21">
    <mergeCell ref="A1:K1"/>
    <mergeCell ref="A9:K9"/>
    <mergeCell ref="A14:K14"/>
    <mergeCell ref="A32:K32"/>
    <mergeCell ref="G2:I4"/>
    <mergeCell ref="H36:I36"/>
    <mergeCell ref="A38:K38"/>
    <mergeCell ref="B11:E11"/>
    <mergeCell ref="B12:E12"/>
    <mergeCell ref="A5:K7"/>
    <mergeCell ref="B25:F25"/>
    <mergeCell ref="B26:F26"/>
    <mergeCell ref="B27:F27"/>
    <mergeCell ref="B35:F35"/>
    <mergeCell ref="B36:F36"/>
    <mergeCell ref="B30:C30"/>
    <mergeCell ref="B23:F23"/>
    <mergeCell ref="B28:F28"/>
    <mergeCell ref="B34:F34"/>
    <mergeCell ref="H34:I34"/>
    <mergeCell ref="H35:I35"/>
  </mergeCells>
  <conditionalFormatting sqref="F12:G12">
    <cfRule type="expression" dxfId="313" priority="8">
      <formula>OR(#REF!="No",#REF!="Không")</formula>
    </cfRule>
  </conditionalFormatting>
  <conditionalFormatting sqref="F12:G12">
    <cfRule type="expression" dxfId="312" priority="9">
      <formula>OR($D12="No",$D12="Không")</formula>
    </cfRule>
    <cfRule type="expression" dxfId="311" priority="10">
      <formula>OR(#REF!="No",#REF!="Không")</formula>
    </cfRule>
  </conditionalFormatting>
  <conditionalFormatting sqref="B12">
    <cfRule type="expression" dxfId="310" priority="400">
      <formula>#REF!="Option B"</formula>
    </cfRule>
  </conditionalFormatting>
  <conditionalFormatting sqref="B12">
    <cfRule type="expression" dxfId="309" priority="401">
      <formula>#REF!="No"</formula>
    </cfRule>
  </conditionalFormatting>
  <conditionalFormatting sqref="H12">
    <cfRule type="expression" dxfId="308" priority="3">
      <formula>OR(#REF!="No",#REF!="Không")</formula>
    </cfRule>
  </conditionalFormatting>
  <conditionalFormatting sqref="H12">
    <cfRule type="expression" dxfId="307" priority="1">
      <formula>OR($D12="No",$D12="Không")</formula>
    </cfRule>
    <cfRule type="expression" dxfId="306" priority="2">
      <formula>OR(#REF!="No",#REF!="Không")</formula>
    </cfRule>
  </conditionalFormatting>
  <dataValidations count="2">
    <dataValidation type="list" allowBlank="1" showInputMessage="1" showErrorMessage="1" sqref="G35:G36" xr:uid="{00000000-0002-0000-1200-000000000000}">
      <formula1>"Select,Submitted,Not submitted"</formula1>
    </dataValidation>
    <dataValidation type="list" allowBlank="1" showInputMessage="1" showErrorMessage="1" sqref="G25:G28" xr:uid="{00000000-0002-0000-1200-000001000000}">
      <formula1>"Select,Yes,No"</formula1>
    </dataValidation>
  </dataValidations>
  <hyperlinks>
    <hyperlink ref="K4" location="'Energy BPC'!B3" tooltip="BPC" display="BPC" xr:uid="{00000000-0004-0000-1200-000000000000}"/>
    <hyperlink ref="K2" location="'E-4 Artificial Lighting'!D3" tooltip="E-4" display="E-4" xr:uid="{00000000-0004-0000-1200-000001000000}"/>
    <hyperlink ref="J2" location="'E-1 Passive Design'!B3" tooltip="E-1" display="E-1" xr:uid="{00000000-0004-0000-1200-000002000000}"/>
    <hyperlink ref="J3" location="'E-2 Building Envelope'!B3" tooltip="E-2" display="E-2" xr:uid="{00000000-0004-0000-1200-000003000000}"/>
    <hyperlink ref="K3" location="'E-5 Energy Efficient Appliances'!B3" tooltip="E-5" display="E-5" xr:uid="{00000000-0004-0000-1200-000004000000}"/>
    <hyperlink ref="J4" location="'E-3 Building Cooling'!B3" tooltip="E-3" display="E-3" xr:uid="{00000000-0004-0000-1200-00000500000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8"/>
  <dimension ref="A1:P139"/>
  <sheetViews>
    <sheetView showGridLines="0" showRowColHeaders="0" workbookViewId="0">
      <pane ySplit="1" topLeftCell="A2" activePane="bottomLeft" state="frozen"/>
      <selection pane="bottomLeft" activeCell="C112" sqref="C112"/>
    </sheetView>
  </sheetViews>
  <sheetFormatPr defaultColWidth="0" defaultRowHeight="15" customHeight="1" zeroHeight="1" x14ac:dyDescent="0.25"/>
  <cols>
    <col min="1" max="1" width="3.7109375" customWidth="1"/>
    <col min="2" max="2" width="9.7109375" customWidth="1"/>
    <col min="3" max="3" width="9.140625" customWidth="1"/>
    <col min="4" max="4" width="10" customWidth="1"/>
    <col min="5" max="10" width="9.140625" customWidth="1"/>
    <col min="11" max="11" width="11.7109375" customWidth="1"/>
    <col min="12" max="15" width="9.140625" customWidth="1"/>
    <col min="16" max="16" width="9.140625" hidden="1" customWidth="1"/>
    <col min="17" max="16384" width="9.140625" hidden="1"/>
  </cols>
  <sheetData>
    <row r="1" spans="1:16" ht="30" customHeight="1" x14ac:dyDescent="0.25">
      <c r="A1" s="1348" t="s">
        <v>1686</v>
      </c>
      <c r="B1" s="1348"/>
      <c r="C1" s="1348"/>
      <c r="D1" s="1348"/>
      <c r="E1" s="1348"/>
      <c r="F1" s="1348"/>
      <c r="G1" s="1348"/>
      <c r="H1" s="1348"/>
      <c r="I1" s="1348"/>
      <c r="J1" s="1348"/>
      <c r="K1" s="1348"/>
      <c r="L1" s="1348"/>
      <c r="M1" s="1348"/>
      <c r="N1" s="1348"/>
      <c r="O1" s="1348"/>
      <c r="P1" s="40"/>
    </row>
    <row r="2" spans="1:16" ht="15" customHeight="1" x14ac:dyDescent="0.25">
      <c r="A2" s="16"/>
      <c r="B2" s="16"/>
      <c r="C2" s="16"/>
      <c r="D2" s="16"/>
      <c r="E2" s="16"/>
      <c r="F2" s="16"/>
      <c r="G2" s="16"/>
      <c r="H2" s="16"/>
      <c r="I2" s="16"/>
      <c r="J2" s="16"/>
      <c r="K2" s="16"/>
      <c r="L2" s="12"/>
      <c r="M2" s="12"/>
      <c r="N2" s="12"/>
      <c r="O2" s="12"/>
      <c r="P2" s="11"/>
    </row>
    <row r="3" spans="1:16" ht="18" customHeight="1" x14ac:dyDescent="0.25">
      <c r="A3" s="1349" t="s">
        <v>1687</v>
      </c>
      <c r="B3" s="1349"/>
      <c r="C3" s="1349"/>
      <c r="D3" s="1349"/>
      <c r="E3" s="16"/>
      <c r="F3" s="16"/>
      <c r="G3" s="16"/>
      <c r="H3" s="16"/>
      <c r="I3" s="16"/>
      <c r="J3" s="16"/>
      <c r="K3" s="16"/>
      <c r="L3" s="12"/>
      <c r="M3" s="12"/>
      <c r="N3" s="12"/>
      <c r="O3" s="12"/>
      <c r="P3" s="11"/>
    </row>
    <row r="4" spans="1:16" ht="15" customHeight="1" x14ac:dyDescent="0.25">
      <c r="A4" s="16"/>
      <c r="B4" s="16"/>
      <c r="C4" s="16"/>
      <c r="D4" s="16"/>
      <c r="E4" s="16"/>
      <c r="F4" s="16"/>
      <c r="G4" s="16"/>
      <c r="H4" s="16"/>
      <c r="I4" s="16"/>
      <c r="J4" s="16"/>
      <c r="K4" s="16"/>
      <c r="L4" s="12"/>
      <c r="M4" s="12"/>
      <c r="N4" s="12"/>
      <c r="O4" s="12"/>
      <c r="P4" s="11"/>
    </row>
    <row r="5" spans="1:16" ht="59.25" customHeight="1" x14ac:dyDescent="0.25">
      <c r="A5" s="16"/>
      <c r="B5" s="1350" t="s">
        <v>1735</v>
      </c>
      <c r="C5" s="1350"/>
      <c r="D5" s="1350"/>
      <c r="E5" s="1350"/>
      <c r="F5" s="1350"/>
      <c r="G5" s="1350"/>
      <c r="H5" s="1350"/>
      <c r="I5" s="1350"/>
      <c r="J5" s="1350"/>
      <c r="K5" s="1350"/>
      <c r="L5" s="1350"/>
      <c r="M5" s="1350"/>
      <c r="N5" s="1350"/>
      <c r="O5" s="12"/>
      <c r="P5" s="11"/>
    </row>
    <row r="6" spans="1:16" ht="31.5" customHeight="1" x14ac:dyDescent="0.25">
      <c r="A6" s="16"/>
      <c r="B6" s="1350" t="s">
        <v>1688</v>
      </c>
      <c r="C6" s="1350"/>
      <c r="D6" s="1350"/>
      <c r="E6" s="1350"/>
      <c r="F6" s="1350"/>
      <c r="G6" s="1350"/>
      <c r="H6" s="1350"/>
      <c r="I6" s="1350"/>
      <c r="J6" s="1350"/>
      <c r="K6" s="1350"/>
      <c r="L6" s="1350"/>
      <c r="M6" s="1350"/>
      <c r="N6" s="1350"/>
      <c r="O6" s="12"/>
      <c r="P6" s="11"/>
    </row>
    <row r="7" spans="1:16" ht="31.5" customHeight="1" x14ac:dyDescent="0.25">
      <c r="A7" s="16"/>
      <c r="B7" s="1350" t="s">
        <v>1690</v>
      </c>
      <c r="C7" s="1350"/>
      <c r="D7" s="1350"/>
      <c r="E7" s="1350"/>
      <c r="F7" s="1350"/>
      <c r="G7" s="1350"/>
      <c r="H7" s="1350"/>
      <c r="I7" s="1350"/>
      <c r="J7" s="1350"/>
      <c r="K7" s="1350"/>
      <c r="L7" s="1350"/>
      <c r="M7" s="1350"/>
      <c r="N7" s="1350"/>
      <c r="O7" s="12"/>
      <c r="P7" s="11"/>
    </row>
    <row r="8" spans="1:16" ht="31.5" customHeight="1" x14ac:dyDescent="0.25">
      <c r="A8" s="16"/>
      <c r="B8" s="1350" t="s">
        <v>1691</v>
      </c>
      <c r="C8" s="1350"/>
      <c r="D8" s="1350"/>
      <c r="E8" s="1350"/>
      <c r="F8" s="1350"/>
      <c r="G8" s="1350"/>
      <c r="H8" s="1350"/>
      <c r="I8" s="1350"/>
      <c r="J8" s="1350"/>
      <c r="K8" s="1350"/>
      <c r="L8" s="1350"/>
      <c r="M8" s="1350"/>
      <c r="N8" s="1350"/>
      <c r="O8" s="12"/>
      <c r="P8" s="11"/>
    </row>
    <row r="9" spans="1:16" ht="18" customHeight="1" x14ac:dyDescent="0.25">
      <c r="A9" s="16"/>
      <c r="B9" s="1350" t="s">
        <v>1692</v>
      </c>
      <c r="C9" s="1350"/>
      <c r="D9" s="1350"/>
      <c r="E9" s="1350"/>
      <c r="F9" s="1350"/>
      <c r="G9" s="1350"/>
      <c r="H9" s="1350"/>
      <c r="I9" s="1350"/>
      <c r="J9" s="1350"/>
      <c r="K9" s="1350"/>
      <c r="L9" s="1350"/>
      <c r="M9" s="1350"/>
      <c r="N9" s="1350"/>
      <c r="O9" s="12"/>
      <c r="P9" s="11"/>
    </row>
    <row r="10" spans="1:16" ht="15" customHeight="1" x14ac:dyDescent="0.25">
      <c r="A10" s="16"/>
      <c r="B10" s="16"/>
      <c r="C10" s="16"/>
      <c r="D10" s="16"/>
      <c r="E10" s="16"/>
      <c r="F10" s="16"/>
      <c r="G10" s="16"/>
      <c r="H10" s="16"/>
      <c r="I10" s="16"/>
      <c r="J10" s="16"/>
      <c r="K10" s="16"/>
      <c r="L10" s="12"/>
      <c r="M10" s="12"/>
      <c r="N10" s="12"/>
      <c r="O10" s="12"/>
      <c r="P10" s="11"/>
    </row>
    <row r="11" spans="1:16" ht="18" customHeight="1" x14ac:dyDescent="0.25">
      <c r="A11" s="1349" t="s">
        <v>1689</v>
      </c>
      <c r="B11" s="1349"/>
      <c r="C11" s="1349"/>
      <c r="D11" s="1349"/>
      <c r="E11" s="16"/>
      <c r="F11" s="16"/>
      <c r="G11" s="16"/>
      <c r="H11" s="16"/>
      <c r="I11" s="16"/>
      <c r="J11" s="16"/>
      <c r="K11" s="16"/>
      <c r="L11" s="12"/>
      <c r="M11" s="12"/>
      <c r="N11" s="12"/>
      <c r="O11" s="12"/>
      <c r="P11" s="11"/>
    </row>
    <row r="12" spans="1:16" x14ac:dyDescent="0.25">
      <c r="A12" s="16"/>
      <c r="B12" s="16"/>
      <c r="C12" s="16"/>
      <c r="D12" s="16"/>
      <c r="E12" s="16"/>
      <c r="F12" s="16"/>
      <c r="G12" s="16"/>
      <c r="H12" s="16"/>
      <c r="I12" s="16"/>
      <c r="J12" s="16"/>
      <c r="K12" s="16"/>
      <c r="L12" s="12"/>
      <c r="M12" s="12"/>
      <c r="N12" s="12"/>
      <c r="O12" s="12"/>
      <c r="P12" s="11"/>
    </row>
    <row r="13" spans="1:16" x14ac:dyDescent="0.25">
      <c r="A13" s="16"/>
      <c r="B13" s="1201" t="s">
        <v>1693</v>
      </c>
      <c r="C13" s="16"/>
      <c r="D13" s="16"/>
      <c r="E13" s="16"/>
      <c r="F13" s="16"/>
      <c r="G13" s="16"/>
      <c r="H13" s="16"/>
      <c r="I13" s="16"/>
      <c r="J13" s="16"/>
      <c r="K13" s="16"/>
      <c r="L13" s="12"/>
      <c r="M13" s="12"/>
      <c r="N13" s="12"/>
      <c r="O13" s="12"/>
      <c r="P13" s="11"/>
    </row>
    <row r="14" spans="1:16" x14ac:dyDescent="0.25">
      <c r="A14" s="16"/>
      <c r="B14" s="929" t="s">
        <v>2292</v>
      </c>
      <c r="C14" s="16"/>
      <c r="D14" s="16"/>
      <c r="E14" s="16"/>
      <c r="F14" s="16"/>
      <c r="G14" s="16"/>
      <c r="H14" s="16"/>
      <c r="I14" s="16"/>
      <c r="J14" s="16"/>
      <c r="K14" s="16"/>
      <c r="L14" s="12"/>
      <c r="M14" s="12"/>
      <c r="N14" s="12"/>
      <c r="O14" s="12"/>
      <c r="P14" s="11"/>
    </row>
    <row r="15" spans="1:16" x14ac:dyDescent="0.25">
      <c r="A15" s="16"/>
      <c r="B15" s="16"/>
      <c r="C15" s="16"/>
      <c r="D15" s="16"/>
      <c r="E15" s="16"/>
      <c r="F15" s="16"/>
      <c r="G15" s="16"/>
      <c r="H15" s="16"/>
      <c r="I15" s="16"/>
      <c r="J15" s="16"/>
      <c r="K15" s="16"/>
      <c r="L15" s="12"/>
      <c r="M15" s="12"/>
      <c r="N15" s="12"/>
      <c r="O15" s="12"/>
      <c r="P15" s="11"/>
    </row>
    <row r="16" spans="1:16" x14ac:dyDescent="0.25">
      <c r="A16" s="16"/>
      <c r="B16" s="1201" t="s">
        <v>2288</v>
      </c>
      <c r="C16" s="16"/>
      <c r="D16" s="16"/>
      <c r="E16" s="16"/>
      <c r="F16" s="16"/>
      <c r="G16" s="16"/>
      <c r="H16" s="16"/>
      <c r="I16" s="16"/>
      <c r="J16" s="16"/>
      <c r="K16" s="16"/>
      <c r="L16" s="12"/>
      <c r="M16" s="12"/>
      <c r="N16" s="12"/>
      <c r="O16" s="12"/>
      <c r="P16" s="11"/>
    </row>
    <row r="17" spans="1:16" x14ac:dyDescent="0.25">
      <c r="A17" s="16"/>
      <c r="B17" s="929" t="s">
        <v>2291</v>
      </c>
      <c r="C17" s="16"/>
      <c r="D17" s="16"/>
      <c r="E17" s="16"/>
      <c r="F17" s="16"/>
      <c r="G17" s="16"/>
      <c r="H17" s="16"/>
      <c r="I17" s="16"/>
      <c r="J17" s="16"/>
      <c r="K17" s="16"/>
      <c r="L17" s="12"/>
      <c r="M17" s="12"/>
      <c r="N17" s="12"/>
      <c r="O17" s="12"/>
      <c r="P17" s="11"/>
    </row>
    <row r="18" spans="1:16" x14ac:dyDescent="0.25">
      <c r="A18" s="16"/>
      <c r="B18" s="16"/>
      <c r="C18" s="16"/>
      <c r="D18" s="16"/>
      <c r="E18" s="16"/>
      <c r="F18" s="16"/>
      <c r="G18" s="16"/>
      <c r="H18" s="16"/>
      <c r="I18" s="16"/>
      <c r="J18" s="16"/>
      <c r="K18" s="16"/>
      <c r="L18" s="12"/>
      <c r="M18" s="12"/>
      <c r="N18" s="12"/>
      <c r="O18" s="12"/>
      <c r="P18" s="11"/>
    </row>
    <row r="19" spans="1:16" x14ac:dyDescent="0.25">
      <c r="A19" s="16"/>
      <c r="B19" s="1201" t="s">
        <v>1694</v>
      </c>
      <c r="C19" s="16"/>
      <c r="D19" s="16"/>
      <c r="E19" s="16"/>
      <c r="F19" s="16"/>
      <c r="G19" s="16"/>
      <c r="H19" s="16"/>
      <c r="I19" s="16"/>
      <c r="J19" s="16"/>
      <c r="K19" s="16"/>
      <c r="L19" s="12"/>
      <c r="M19" s="12"/>
      <c r="N19" s="12"/>
      <c r="O19" s="12"/>
      <c r="P19" s="11"/>
    </row>
    <row r="20" spans="1:16" ht="31.5" customHeight="1" x14ac:dyDescent="0.25">
      <c r="A20" s="16"/>
      <c r="B20" s="1350" t="s">
        <v>1695</v>
      </c>
      <c r="C20" s="1350"/>
      <c r="D20" s="1350"/>
      <c r="E20" s="1350"/>
      <c r="F20" s="1350"/>
      <c r="G20" s="1350"/>
      <c r="H20" s="1350"/>
      <c r="I20" s="1350"/>
      <c r="J20" s="1350"/>
      <c r="K20" s="1350"/>
      <c r="L20" s="1350"/>
      <c r="M20" s="1350"/>
      <c r="N20" s="1350"/>
      <c r="O20" s="12"/>
      <c r="P20" s="11"/>
    </row>
    <row r="21" spans="1:16" x14ac:dyDescent="0.25">
      <c r="A21" s="16"/>
      <c r="B21" s="16"/>
      <c r="C21" s="16"/>
      <c r="D21" s="16"/>
      <c r="E21" s="16"/>
      <c r="F21" s="16"/>
      <c r="G21" s="16"/>
      <c r="H21" s="16"/>
      <c r="I21" s="16"/>
      <c r="J21" s="16"/>
      <c r="K21" s="16"/>
      <c r="L21" s="12"/>
      <c r="M21" s="12"/>
      <c r="N21" s="12"/>
      <c r="O21" s="12"/>
      <c r="P21" s="11"/>
    </row>
    <row r="22" spans="1:16" x14ac:dyDescent="0.25">
      <c r="A22" s="16"/>
      <c r="B22" s="1350" t="s">
        <v>1696</v>
      </c>
      <c r="C22" s="1350"/>
      <c r="D22" s="1350"/>
      <c r="E22" s="1350"/>
      <c r="F22" s="1350"/>
      <c r="G22" s="1350"/>
      <c r="H22" s="1350"/>
      <c r="I22" s="1350"/>
      <c r="J22" s="1350"/>
      <c r="K22" s="1350"/>
      <c r="L22" s="1350"/>
      <c r="M22" s="1350"/>
      <c r="N22" s="1350"/>
      <c r="O22" s="12"/>
      <c r="P22" s="11"/>
    </row>
    <row r="23" spans="1:16" x14ac:dyDescent="0.25">
      <c r="A23" s="16"/>
      <c r="B23" s="16"/>
      <c r="C23" s="16"/>
      <c r="D23" s="16"/>
      <c r="E23" s="16"/>
      <c r="F23" s="16"/>
      <c r="G23" s="16"/>
      <c r="H23" s="16"/>
      <c r="I23" s="16"/>
      <c r="J23" s="16"/>
      <c r="K23" s="16"/>
      <c r="L23" s="12"/>
      <c r="M23" s="12"/>
      <c r="N23" s="12"/>
      <c r="O23" s="12"/>
      <c r="P23" s="11"/>
    </row>
    <row r="24" spans="1:16" ht="18" customHeight="1" x14ac:dyDescent="0.25">
      <c r="A24" s="1349" t="s">
        <v>1697</v>
      </c>
      <c r="B24" s="1349"/>
      <c r="C24" s="1349"/>
      <c r="D24" s="1349"/>
      <c r="E24" s="16"/>
      <c r="F24" s="16"/>
      <c r="G24" s="16"/>
      <c r="H24" s="16"/>
      <c r="I24" s="16"/>
      <c r="J24" s="16"/>
      <c r="K24" s="16"/>
      <c r="L24" s="12"/>
      <c r="M24" s="12"/>
      <c r="N24" s="12"/>
      <c r="O24" s="12"/>
      <c r="P24" s="11"/>
    </row>
    <row r="25" spans="1:16" ht="15" customHeight="1" x14ac:dyDescent="0.25">
      <c r="A25" s="16"/>
      <c r="B25" s="16"/>
      <c r="C25" s="16"/>
      <c r="D25" s="16"/>
      <c r="E25" s="16"/>
      <c r="F25" s="16"/>
      <c r="G25" s="16"/>
      <c r="H25" s="16"/>
      <c r="I25" s="16"/>
      <c r="J25" s="16"/>
      <c r="K25" s="16"/>
      <c r="L25" s="12"/>
      <c r="M25" s="12"/>
      <c r="N25" s="12"/>
      <c r="O25" s="12"/>
      <c r="P25" s="11"/>
    </row>
    <row r="26" spans="1:16" x14ac:dyDescent="0.25">
      <c r="A26" s="16"/>
      <c r="B26" s="1350" t="s">
        <v>2561</v>
      </c>
      <c r="C26" s="1350"/>
      <c r="D26" s="1350"/>
      <c r="E26" s="1350"/>
      <c r="F26" s="1350"/>
      <c r="G26" s="1350"/>
      <c r="H26" s="1350"/>
      <c r="I26" s="1350"/>
      <c r="J26" s="1350"/>
      <c r="K26" s="1350"/>
      <c r="L26" s="1350"/>
      <c r="M26" s="1350"/>
      <c r="N26" s="1350"/>
      <c r="O26" s="12"/>
      <c r="P26" s="11"/>
    </row>
    <row r="27" spans="1:16" x14ac:dyDescent="0.25">
      <c r="A27" s="16"/>
      <c r="B27" s="16"/>
      <c r="C27" s="16"/>
      <c r="D27" s="16"/>
      <c r="E27" s="16"/>
      <c r="F27" s="16"/>
      <c r="G27" s="16"/>
      <c r="H27" s="16"/>
      <c r="I27" s="16"/>
      <c r="J27" s="16"/>
      <c r="K27" s="16"/>
      <c r="L27" s="12"/>
      <c r="M27" s="12"/>
      <c r="N27" s="12"/>
      <c r="O27" s="12"/>
      <c r="P27" s="11"/>
    </row>
    <row r="28" spans="1:16" ht="15.75" x14ac:dyDescent="0.25">
      <c r="A28" s="16"/>
      <c r="B28" s="1241" t="s">
        <v>2422</v>
      </c>
      <c r="C28" s="16"/>
      <c r="D28" s="16"/>
      <c r="E28" s="16"/>
      <c r="F28" s="16"/>
      <c r="G28" s="16"/>
      <c r="H28" s="16"/>
      <c r="I28" s="16"/>
      <c r="J28" s="16"/>
      <c r="K28" s="16"/>
      <c r="L28" s="12"/>
      <c r="M28" s="12"/>
      <c r="N28" s="12"/>
      <c r="O28" s="12"/>
      <c r="P28" s="11"/>
    </row>
    <row r="29" spans="1:16" ht="12" customHeight="1" x14ac:dyDescent="0.25">
      <c r="A29" s="16"/>
      <c r="B29" s="1251"/>
      <c r="C29" s="1252"/>
      <c r="D29" s="1252"/>
      <c r="E29" s="1252"/>
      <c r="F29" s="1252"/>
      <c r="G29" s="1252"/>
      <c r="H29" s="1252"/>
      <c r="I29" s="1252"/>
      <c r="J29" s="1252"/>
      <c r="K29" s="1253"/>
      <c r="L29" s="12"/>
      <c r="M29" s="12"/>
      <c r="N29" s="12"/>
      <c r="O29" s="12"/>
      <c r="P29" s="11"/>
    </row>
    <row r="30" spans="1:16" x14ac:dyDescent="0.25">
      <c r="A30" s="16"/>
      <c r="B30" s="1254"/>
      <c r="C30" s="16"/>
      <c r="E30" s="16"/>
      <c r="F30" s="16"/>
      <c r="G30" s="16"/>
      <c r="H30" s="16"/>
      <c r="I30" s="16"/>
      <c r="J30" s="12"/>
      <c r="K30" s="1256"/>
      <c r="L30" s="12"/>
      <c r="M30" s="12"/>
      <c r="N30" s="12"/>
      <c r="O30" s="12"/>
      <c r="P30" s="11"/>
    </row>
    <row r="31" spans="1:16" x14ac:dyDescent="0.25">
      <c r="A31" s="16"/>
      <c r="B31" s="1254"/>
      <c r="C31" s="16"/>
      <c r="D31" s="16"/>
      <c r="E31" s="16"/>
      <c r="F31" s="16"/>
      <c r="G31" s="16"/>
      <c r="I31" s="16"/>
      <c r="J31" s="12"/>
      <c r="K31" s="1256"/>
      <c r="L31" s="12"/>
      <c r="M31" s="12"/>
      <c r="N31" s="12"/>
      <c r="O31" s="12"/>
      <c r="P31" s="11"/>
    </row>
    <row r="32" spans="1:16" x14ac:dyDescent="0.25">
      <c r="A32" s="16"/>
      <c r="B32" s="1254"/>
      <c r="C32" s="16"/>
      <c r="D32" s="16"/>
      <c r="E32" s="16"/>
      <c r="F32" s="16"/>
      <c r="H32" s="16"/>
      <c r="I32" s="16"/>
      <c r="J32" s="12"/>
      <c r="K32" s="1256"/>
      <c r="L32" s="12"/>
      <c r="M32" s="12"/>
      <c r="N32" s="12"/>
      <c r="O32" s="12"/>
      <c r="P32" s="11"/>
    </row>
    <row r="33" spans="1:16" x14ac:dyDescent="0.25">
      <c r="A33" s="16"/>
      <c r="B33" s="1254"/>
      <c r="C33" s="16"/>
      <c r="D33" s="16"/>
      <c r="E33" s="16"/>
      <c r="F33" s="16"/>
      <c r="G33" s="16"/>
      <c r="H33" s="16"/>
      <c r="I33" s="16"/>
      <c r="K33" s="1256"/>
      <c r="L33" s="12"/>
      <c r="M33" s="12"/>
      <c r="N33" s="12"/>
      <c r="O33" s="12"/>
      <c r="P33" s="11"/>
    </row>
    <row r="34" spans="1:16" x14ac:dyDescent="0.25">
      <c r="A34" s="16"/>
      <c r="B34" s="1254"/>
      <c r="C34" s="16"/>
      <c r="D34" s="16"/>
      <c r="E34" s="16"/>
      <c r="F34" s="16"/>
      <c r="G34" s="16"/>
      <c r="H34" s="16"/>
      <c r="I34" s="16"/>
      <c r="J34" s="12"/>
      <c r="K34" s="1256"/>
      <c r="L34" s="12"/>
      <c r="M34" s="12"/>
      <c r="N34" s="12"/>
      <c r="O34" s="12"/>
      <c r="P34" s="11"/>
    </row>
    <row r="35" spans="1:16" x14ac:dyDescent="0.25">
      <c r="A35" s="16"/>
      <c r="B35" s="1254"/>
      <c r="C35" s="16"/>
      <c r="D35" s="16"/>
      <c r="E35" s="16"/>
      <c r="F35" s="16"/>
      <c r="G35" s="16"/>
      <c r="H35" s="16"/>
      <c r="I35" s="16"/>
      <c r="J35" s="12"/>
      <c r="K35" s="1256"/>
      <c r="L35" s="12"/>
      <c r="M35" s="12"/>
      <c r="N35" s="12"/>
      <c r="O35" s="12"/>
      <c r="P35" s="11"/>
    </row>
    <row r="36" spans="1:16" x14ac:dyDescent="0.25">
      <c r="A36" s="16"/>
      <c r="B36" s="1254"/>
      <c r="C36" s="16"/>
      <c r="D36" s="16"/>
      <c r="E36" s="16"/>
      <c r="F36" s="16"/>
      <c r="G36" s="16"/>
      <c r="H36" s="16"/>
      <c r="I36" s="16"/>
      <c r="J36" s="12"/>
      <c r="K36" s="1256"/>
      <c r="L36" s="12"/>
      <c r="M36" s="12"/>
      <c r="N36" s="12"/>
      <c r="O36" s="12"/>
      <c r="P36" s="11"/>
    </row>
    <row r="37" spans="1:16" x14ac:dyDescent="0.25">
      <c r="A37" s="16"/>
      <c r="B37" s="1254"/>
      <c r="C37" s="16"/>
      <c r="D37" s="16"/>
      <c r="E37" s="16"/>
      <c r="F37" s="16"/>
      <c r="G37" s="16"/>
      <c r="H37" s="16"/>
      <c r="I37" s="16"/>
      <c r="J37" s="12"/>
      <c r="K37" s="1256"/>
      <c r="L37" s="12"/>
      <c r="M37" s="12"/>
      <c r="N37" s="12"/>
      <c r="O37" s="12"/>
      <c r="P37" s="11"/>
    </row>
    <row r="38" spans="1:16" x14ac:dyDescent="0.25">
      <c r="A38" s="16"/>
      <c r="B38" s="1254"/>
      <c r="C38" s="16"/>
      <c r="D38" s="16"/>
      <c r="E38" s="16"/>
      <c r="F38" s="16"/>
      <c r="G38" s="16"/>
      <c r="H38" s="16"/>
      <c r="I38" s="16"/>
      <c r="J38" s="12"/>
      <c r="K38" s="1256"/>
      <c r="L38" s="12"/>
      <c r="M38" s="12"/>
      <c r="N38" s="12"/>
      <c r="O38" s="12"/>
      <c r="P38" s="11"/>
    </row>
    <row r="39" spans="1:16" x14ac:dyDescent="0.25">
      <c r="A39" s="16"/>
      <c r="B39" s="1254"/>
      <c r="C39" s="16"/>
      <c r="D39" s="16"/>
      <c r="E39" s="16"/>
      <c r="F39" s="16"/>
      <c r="G39" s="16"/>
      <c r="H39" s="16"/>
      <c r="I39" s="16"/>
      <c r="J39" s="12"/>
      <c r="K39" s="1256"/>
      <c r="L39" s="12"/>
      <c r="M39" s="12"/>
      <c r="N39" s="12"/>
      <c r="O39" s="12"/>
      <c r="P39" s="11"/>
    </row>
    <row r="40" spans="1:16" x14ac:dyDescent="0.25">
      <c r="A40" s="16"/>
      <c r="B40" s="1254"/>
      <c r="C40" s="16"/>
      <c r="D40" s="16"/>
      <c r="E40" s="16"/>
      <c r="F40" s="16"/>
      <c r="G40" s="16"/>
      <c r="H40" s="16"/>
      <c r="I40" s="16"/>
      <c r="J40" s="12"/>
      <c r="K40" s="1256"/>
      <c r="L40" s="12"/>
      <c r="M40" s="12"/>
      <c r="N40" s="12"/>
      <c r="O40" s="12"/>
      <c r="P40" s="11"/>
    </row>
    <row r="41" spans="1:16" x14ac:dyDescent="0.25">
      <c r="A41" s="16"/>
      <c r="B41" s="1254"/>
      <c r="C41" s="16"/>
      <c r="D41" s="16"/>
      <c r="E41" s="16"/>
      <c r="F41" s="16"/>
      <c r="G41" s="16"/>
      <c r="H41" s="16"/>
      <c r="I41" s="16"/>
      <c r="J41" s="12"/>
      <c r="K41" s="1256"/>
      <c r="L41" s="12"/>
      <c r="M41" s="12"/>
      <c r="N41" s="12"/>
      <c r="O41" s="12"/>
      <c r="P41" s="11"/>
    </row>
    <row r="42" spans="1:16" x14ac:dyDescent="0.25">
      <c r="A42" s="16"/>
      <c r="B42" s="1254"/>
      <c r="C42" s="16"/>
      <c r="D42" s="16"/>
      <c r="E42" s="16"/>
      <c r="F42" s="16"/>
      <c r="G42" s="16"/>
      <c r="H42" s="16"/>
      <c r="I42" s="16"/>
      <c r="J42" s="12"/>
      <c r="K42" s="1256"/>
      <c r="L42" s="12"/>
      <c r="M42" s="12"/>
      <c r="N42" s="12"/>
      <c r="O42" s="12"/>
      <c r="P42" s="11"/>
    </row>
    <row r="43" spans="1:16" x14ac:dyDescent="0.25">
      <c r="A43" s="16"/>
      <c r="B43" s="1254"/>
      <c r="C43" s="16"/>
      <c r="D43" s="16"/>
      <c r="E43" s="16"/>
      <c r="F43" s="16"/>
      <c r="G43" s="16"/>
      <c r="H43" s="16"/>
      <c r="I43" s="16"/>
      <c r="J43" s="12"/>
      <c r="K43" s="1256"/>
      <c r="L43" s="12"/>
      <c r="M43" s="12"/>
      <c r="N43" s="12"/>
      <c r="O43" s="12"/>
      <c r="P43" s="11"/>
    </row>
    <row r="44" spans="1:16" ht="10.5" customHeight="1" x14ac:dyDescent="0.25">
      <c r="A44" s="16"/>
      <c r="B44" s="1257"/>
      <c r="C44" s="1258"/>
      <c r="D44" s="1258"/>
      <c r="E44" s="1258"/>
      <c r="F44" s="1258"/>
      <c r="G44" s="1258"/>
      <c r="H44" s="1258"/>
      <c r="I44" s="1258"/>
      <c r="J44" s="1258"/>
      <c r="K44" s="1259"/>
      <c r="L44" s="12"/>
      <c r="M44" s="12"/>
      <c r="N44" s="12"/>
      <c r="O44" s="12"/>
      <c r="P44" s="11"/>
    </row>
    <row r="45" spans="1:16" ht="10.5" customHeight="1" x14ac:dyDescent="0.25">
      <c r="A45" s="16"/>
      <c r="B45" s="17"/>
      <c r="C45" s="1255"/>
      <c r="D45" s="1255"/>
      <c r="E45" s="1255"/>
      <c r="F45" s="1255"/>
      <c r="G45" s="1255"/>
      <c r="H45" s="1255"/>
      <c r="I45" s="1255"/>
      <c r="J45" s="1255"/>
      <c r="K45" s="1255"/>
      <c r="L45" s="1255"/>
      <c r="M45" s="12"/>
      <c r="N45" s="12"/>
      <c r="O45" s="12"/>
      <c r="P45" s="11"/>
    </row>
    <row r="46" spans="1:16" ht="15.75" x14ac:dyDescent="0.25">
      <c r="A46" s="16"/>
      <c r="B46" s="1318" t="s">
        <v>2423</v>
      </c>
      <c r="C46" s="16"/>
      <c r="D46" s="16"/>
      <c r="E46" s="16"/>
      <c r="F46" s="16"/>
      <c r="G46" s="16"/>
      <c r="H46" s="16"/>
      <c r="I46" s="16"/>
      <c r="J46" s="16"/>
      <c r="K46" s="16"/>
      <c r="L46" s="12"/>
      <c r="M46" s="12"/>
      <c r="N46" s="12"/>
      <c r="O46" s="12"/>
      <c r="P46" s="11"/>
    </row>
    <row r="47" spans="1:16" ht="12" customHeight="1" x14ac:dyDescent="0.25">
      <c r="A47" s="17"/>
      <c r="B47" s="1243"/>
      <c r="C47" s="1244"/>
      <c r="D47" s="1244"/>
      <c r="E47" s="1244"/>
      <c r="F47" s="1244"/>
      <c r="G47" s="1244"/>
      <c r="H47" s="1244"/>
      <c r="I47" s="1244"/>
      <c r="J47" s="1244"/>
      <c r="K47" s="1244"/>
      <c r="L47" s="1244"/>
      <c r="M47" s="1244"/>
      <c r="N47" s="1245"/>
      <c r="O47" s="12"/>
      <c r="P47" s="11"/>
    </row>
    <row r="48" spans="1:16" x14ac:dyDescent="0.25">
      <c r="A48" s="17"/>
      <c r="B48" s="1246"/>
      <c r="C48" s="17"/>
      <c r="D48" s="17"/>
      <c r="E48" s="17"/>
      <c r="F48" s="16"/>
      <c r="G48" s="16"/>
      <c r="H48" s="16"/>
      <c r="I48" s="16"/>
      <c r="J48" s="16"/>
      <c r="K48" s="16"/>
      <c r="L48" s="16"/>
      <c r="M48" s="16"/>
      <c r="N48" s="1247"/>
      <c r="O48" s="12"/>
      <c r="P48" s="11"/>
    </row>
    <row r="49" spans="1:16" x14ac:dyDescent="0.25">
      <c r="A49" s="17"/>
      <c r="B49" s="1246"/>
      <c r="C49" s="17"/>
      <c r="D49" s="17"/>
      <c r="E49" s="17"/>
      <c r="F49" s="16"/>
      <c r="G49" s="16"/>
      <c r="H49" s="16"/>
      <c r="I49" s="16"/>
      <c r="J49" s="16"/>
      <c r="K49" s="16"/>
      <c r="L49" s="16"/>
      <c r="M49" s="16"/>
      <c r="N49" s="1247"/>
      <c r="O49" s="12"/>
      <c r="P49" s="11"/>
    </row>
    <row r="50" spans="1:16" x14ac:dyDescent="0.25">
      <c r="A50" s="17"/>
      <c r="B50" s="1246"/>
      <c r="C50" s="17"/>
      <c r="D50" s="17"/>
      <c r="E50" s="17"/>
      <c r="F50" s="16"/>
      <c r="G50" s="16"/>
      <c r="H50" s="16"/>
      <c r="I50" s="16"/>
      <c r="J50" s="16"/>
      <c r="K50" s="16"/>
      <c r="L50" s="16"/>
      <c r="M50" s="16"/>
      <c r="N50" s="1247"/>
      <c r="O50" s="12"/>
      <c r="P50" s="11"/>
    </row>
    <row r="51" spans="1:16" x14ac:dyDescent="0.25">
      <c r="A51" s="17"/>
      <c r="B51" s="1246"/>
      <c r="C51" s="17"/>
      <c r="D51" s="17"/>
      <c r="E51" s="17"/>
      <c r="F51" s="16"/>
      <c r="G51" s="16"/>
      <c r="H51" s="16"/>
      <c r="I51" s="16"/>
      <c r="J51" s="16"/>
      <c r="K51" s="16"/>
      <c r="L51" s="16"/>
      <c r="M51" s="16"/>
      <c r="N51" s="1247"/>
      <c r="O51" s="12"/>
      <c r="P51" s="11"/>
    </row>
    <row r="52" spans="1:16" x14ac:dyDescent="0.25">
      <c r="A52" s="17"/>
      <c r="B52" s="1246"/>
      <c r="C52" s="17"/>
      <c r="D52" s="17"/>
      <c r="E52" s="17"/>
      <c r="F52" s="16"/>
      <c r="G52" s="16"/>
      <c r="H52" s="16"/>
      <c r="I52" s="16"/>
      <c r="J52" s="16"/>
      <c r="K52" s="16"/>
      <c r="L52" s="16"/>
      <c r="M52" s="16"/>
      <c r="N52" s="1247"/>
      <c r="O52" s="12"/>
      <c r="P52" s="11"/>
    </row>
    <row r="53" spans="1:16" x14ac:dyDescent="0.25">
      <c r="A53" s="17"/>
      <c r="B53" s="1246"/>
      <c r="C53" s="17"/>
      <c r="D53" s="17"/>
      <c r="E53" s="17"/>
      <c r="F53" s="16"/>
      <c r="G53" s="16"/>
      <c r="H53" s="16"/>
      <c r="I53" s="16"/>
      <c r="J53" s="16"/>
      <c r="K53" s="16"/>
      <c r="L53" s="16"/>
      <c r="M53" s="16"/>
      <c r="N53" s="1247"/>
      <c r="O53" s="12"/>
      <c r="P53" s="11"/>
    </row>
    <row r="54" spans="1:16" x14ac:dyDescent="0.25">
      <c r="A54" s="17"/>
      <c r="B54" s="1246"/>
      <c r="C54" s="17"/>
      <c r="D54" s="17"/>
      <c r="E54" s="17"/>
      <c r="F54" s="16"/>
      <c r="G54" s="16"/>
      <c r="H54" s="16"/>
      <c r="I54" s="16"/>
      <c r="J54" s="16"/>
      <c r="K54" s="16"/>
      <c r="L54" s="16"/>
      <c r="M54" s="16"/>
      <c r="N54" s="1247"/>
      <c r="O54" s="12"/>
      <c r="P54" s="11"/>
    </row>
    <row r="55" spans="1:16" x14ac:dyDescent="0.25">
      <c r="A55" s="17"/>
      <c r="B55" s="1246"/>
      <c r="C55" s="17"/>
      <c r="D55" s="17"/>
      <c r="E55" s="17"/>
      <c r="F55" s="16"/>
      <c r="G55" s="16"/>
      <c r="H55" s="16"/>
      <c r="I55" s="16"/>
      <c r="J55" s="16"/>
      <c r="K55" s="16"/>
      <c r="L55" s="16"/>
      <c r="M55" s="16"/>
      <c r="N55" s="1247"/>
      <c r="O55" s="12"/>
      <c r="P55" s="11"/>
    </row>
    <row r="56" spans="1:16" x14ac:dyDescent="0.25">
      <c r="A56" s="17"/>
      <c r="B56" s="1246"/>
      <c r="C56" s="17"/>
      <c r="D56" s="17"/>
      <c r="E56" s="17"/>
      <c r="F56" s="16"/>
      <c r="G56" s="16"/>
      <c r="H56" s="16"/>
      <c r="I56" s="16"/>
      <c r="J56" s="16"/>
      <c r="K56" s="16"/>
      <c r="L56" s="16"/>
      <c r="M56" s="16"/>
      <c r="N56" s="1247"/>
      <c r="O56" s="12"/>
      <c r="P56" s="11"/>
    </row>
    <row r="57" spans="1:16" x14ac:dyDescent="0.25">
      <c r="A57" s="17"/>
      <c r="B57" s="1246"/>
      <c r="C57" s="17"/>
      <c r="D57" s="17"/>
      <c r="E57" s="17"/>
      <c r="F57" s="16"/>
      <c r="G57" s="16"/>
      <c r="H57" s="16"/>
      <c r="I57" s="16"/>
      <c r="J57" s="16"/>
      <c r="K57" s="16"/>
      <c r="L57" s="16"/>
      <c r="M57" s="16"/>
      <c r="N57" s="1247"/>
      <c r="O57" s="12"/>
      <c r="P57" s="11"/>
    </row>
    <row r="58" spans="1:16" x14ac:dyDescent="0.25">
      <c r="A58" s="17"/>
      <c r="B58" s="1246"/>
      <c r="C58" s="17"/>
      <c r="D58" s="17"/>
      <c r="E58" s="17"/>
      <c r="F58" s="16"/>
      <c r="G58" s="16"/>
      <c r="H58" s="16"/>
      <c r="I58" s="16"/>
      <c r="J58" s="16"/>
      <c r="K58" s="16"/>
      <c r="L58" s="16"/>
      <c r="M58" s="16"/>
      <c r="N58" s="1247"/>
      <c r="O58" s="12"/>
      <c r="P58" s="11"/>
    </row>
    <row r="59" spans="1:16" x14ac:dyDescent="0.25">
      <c r="A59" s="17"/>
      <c r="B59" s="1246"/>
      <c r="C59" s="17"/>
      <c r="D59" s="17"/>
      <c r="E59" s="17"/>
      <c r="F59" s="16"/>
      <c r="G59" s="16"/>
      <c r="H59" s="16"/>
      <c r="I59" s="16"/>
      <c r="J59" s="16"/>
      <c r="K59" s="16"/>
      <c r="L59" s="16"/>
      <c r="M59" s="16"/>
      <c r="N59" s="1247"/>
      <c r="O59" s="12"/>
      <c r="P59" s="11"/>
    </row>
    <row r="60" spans="1:16" x14ac:dyDescent="0.25">
      <c r="A60" s="17"/>
      <c r="B60" s="1246"/>
      <c r="C60" s="17"/>
      <c r="D60" s="17"/>
      <c r="E60" s="17"/>
      <c r="F60" s="16"/>
      <c r="G60" s="16"/>
      <c r="H60" s="16"/>
      <c r="I60" s="16"/>
      <c r="J60" s="16"/>
      <c r="K60" s="16"/>
      <c r="L60" s="16"/>
      <c r="M60" s="16"/>
      <c r="N60" s="1247"/>
      <c r="O60" s="12"/>
      <c r="P60" s="11"/>
    </row>
    <row r="61" spans="1:16" x14ac:dyDescent="0.25">
      <c r="A61" s="17"/>
      <c r="B61" s="1246"/>
      <c r="C61" s="17"/>
      <c r="D61" s="17"/>
      <c r="E61" s="17"/>
      <c r="F61" s="16"/>
      <c r="G61" s="16"/>
      <c r="H61" s="16"/>
      <c r="I61" s="16"/>
      <c r="J61" s="16"/>
      <c r="K61" s="16"/>
      <c r="L61" s="16"/>
      <c r="M61" s="16"/>
      <c r="N61" s="1247"/>
      <c r="O61" s="12"/>
      <c r="P61" s="11"/>
    </row>
    <row r="62" spans="1:16" x14ac:dyDescent="0.25">
      <c r="A62" s="17"/>
      <c r="B62" s="1246"/>
      <c r="C62" s="17"/>
      <c r="D62" s="17"/>
      <c r="E62" s="17"/>
      <c r="F62" s="16"/>
      <c r="G62" s="16"/>
      <c r="H62" s="16"/>
      <c r="I62" s="16"/>
      <c r="J62" s="16"/>
      <c r="K62" s="16"/>
      <c r="L62" s="16"/>
      <c r="M62" s="16"/>
      <c r="N62" s="1247"/>
      <c r="O62" s="12"/>
      <c r="P62" s="11"/>
    </row>
    <row r="63" spans="1:16" x14ac:dyDescent="0.25">
      <c r="A63" s="17"/>
      <c r="B63" s="1246"/>
      <c r="C63" s="17"/>
      <c r="D63" s="17"/>
      <c r="E63" s="17"/>
      <c r="F63" s="16"/>
      <c r="G63" s="16"/>
      <c r="H63" s="16"/>
      <c r="I63" s="16"/>
      <c r="J63" s="16"/>
      <c r="K63" s="16"/>
      <c r="L63" s="16"/>
      <c r="M63" s="16"/>
      <c r="N63" s="1247"/>
      <c r="O63" s="12"/>
      <c r="P63" s="11"/>
    </row>
    <row r="64" spans="1:16" x14ac:dyDescent="0.25">
      <c r="A64" s="17"/>
      <c r="B64" s="1246"/>
      <c r="C64" s="17"/>
      <c r="D64" s="17"/>
      <c r="E64" s="17"/>
      <c r="F64" s="16"/>
      <c r="G64" s="16"/>
      <c r="H64" s="16"/>
      <c r="I64" s="16"/>
      <c r="J64" s="16"/>
      <c r="K64" s="16"/>
      <c r="L64" s="16"/>
      <c r="M64" s="16"/>
      <c r="N64" s="1247"/>
      <c r="O64" s="12"/>
      <c r="P64" s="11"/>
    </row>
    <row r="65" spans="1:16" ht="16.5" customHeight="1" x14ac:dyDescent="0.25">
      <c r="A65" s="17"/>
      <c r="B65" s="1246"/>
      <c r="C65" s="17"/>
      <c r="D65" s="17"/>
      <c r="E65" s="17"/>
      <c r="F65" s="16"/>
      <c r="G65" s="16"/>
      <c r="H65" s="16"/>
      <c r="I65" s="16"/>
      <c r="J65" s="16"/>
      <c r="K65" s="16"/>
      <c r="L65" s="16"/>
      <c r="M65" s="16"/>
      <c r="N65" s="1247"/>
      <c r="O65" s="12"/>
      <c r="P65" s="11"/>
    </row>
    <row r="66" spans="1:16" ht="16.5" customHeight="1" x14ac:dyDescent="0.25">
      <c r="A66" s="17"/>
      <c r="B66" s="1246"/>
      <c r="C66" s="17"/>
      <c r="D66" s="17"/>
      <c r="E66" s="17"/>
      <c r="F66" s="16"/>
      <c r="G66" s="16"/>
      <c r="H66" s="16"/>
      <c r="J66" s="16"/>
      <c r="K66" s="16"/>
      <c r="L66" s="16"/>
      <c r="M66" s="16"/>
      <c r="N66" s="1247"/>
      <c r="O66" s="12"/>
      <c r="P66" s="11"/>
    </row>
    <row r="67" spans="1:16" ht="16.5" customHeight="1" x14ac:dyDescent="0.25">
      <c r="A67" s="17"/>
      <c r="B67" s="1246"/>
      <c r="C67" s="17"/>
      <c r="D67" s="17"/>
      <c r="E67" s="17"/>
      <c r="F67" s="16"/>
      <c r="G67" s="16"/>
      <c r="H67" s="16"/>
      <c r="I67" s="16"/>
      <c r="J67" s="16"/>
      <c r="K67" s="16"/>
      <c r="L67" s="16"/>
      <c r="M67" s="16"/>
      <c r="N67" s="1247"/>
      <c r="O67" s="12"/>
      <c r="P67" s="11"/>
    </row>
    <row r="68" spans="1:16" ht="16.5" customHeight="1" x14ac:dyDescent="0.25">
      <c r="A68" s="17"/>
      <c r="B68" s="1246"/>
      <c r="C68" s="17"/>
      <c r="D68" s="17"/>
      <c r="E68" s="17"/>
      <c r="F68" s="16"/>
      <c r="G68" s="16"/>
      <c r="H68" s="16"/>
      <c r="I68" s="16"/>
      <c r="J68" s="16"/>
      <c r="K68" s="16"/>
      <c r="L68" s="16"/>
      <c r="M68" s="16"/>
      <c r="N68" s="1247"/>
      <c r="O68" s="12"/>
      <c r="P68" s="11"/>
    </row>
    <row r="69" spans="1:16" x14ac:dyDescent="0.25">
      <c r="A69" s="17"/>
      <c r="B69" s="1246"/>
      <c r="C69" s="16"/>
      <c r="D69" s="16"/>
      <c r="E69" s="16"/>
      <c r="F69" s="16"/>
      <c r="G69" s="16"/>
      <c r="H69" s="16"/>
      <c r="I69" s="16"/>
      <c r="J69" s="16"/>
      <c r="K69" s="16"/>
      <c r="L69" s="16"/>
      <c r="M69" s="16"/>
      <c r="N69" s="1247"/>
      <c r="O69" s="12"/>
      <c r="P69" s="11"/>
    </row>
    <row r="70" spans="1:16" x14ac:dyDescent="0.25">
      <c r="A70" s="16"/>
      <c r="B70" s="1248"/>
      <c r="C70" s="1249"/>
      <c r="D70" s="1249"/>
      <c r="E70" s="1249"/>
      <c r="F70" s="1249"/>
      <c r="G70" s="1249"/>
      <c r="H70" s="1249"/>
      <c r="I70" s="1249"/>
      <c r="J70" s="1249"/>
      <c r="K70" s="1249"/>
      <c r="L70" s="1249"/>
      <c r="M70" s="1249"/>
      <c r="N70" s="1250"/>
      <c r="O70" s="12"/>
      <c r="P70" s="11"/>
    </row>
    <row r="71" spans="1:16" x14ac:dyDescent="0.25">
      <c r="A71" s="16"/>
      <c r="B71" s="17"/>
      <c r="C71" s="17"/>
      <c r="D71" s="17"/>
      <c r="E71" s="17"/>
      <c r="F71" s="17"/>
      <c r="G71" s="17"/>
      <c r="H71" s="17"/>
      <c r="I71" s="17"/>
      <c r="J71" s="17"/>
      <c r="K71" s="17"/>
      <c r="L71" s="17"/>
      <c r="M71" s="17"/>
      <c r="N71" s="12"/>
      <c r="O71" s="12"/>
      <c r="P71" s="11"/>
    </row>
    <row r="72" spans="1:16" ht="15.75" x14ac:dyDescent="0.25">
      <c r="A72" s="16"/>
      <c r="B72" s="1242" t="s">
        <v>2424</v>
      </c>
      <c r="C72" s="16"/>
      <c r="D72" s="16"/>
      <c r="E72" s="16"/>
      <c r="F72" s="16"/>
      <c r="G72" s="16"/>
      <c r="H72" s="16"/>
      <c r="I72" s="16"/>
      <c r="J72" s="16"/>
      <c r="K72" s="12"/>
      <c r="L72" s="12"/>
      <c r="M72" s="12"/>
      <c r="N72" s="12"/>
      <c r="O72" s="12"/>
      <c r="P72" s="11"/>
    </row>
    <row r="73" spans="1:16" x14ac:dyDescent="0.25">
      <c r="A73" s="1319"/>
      <c r="B73" s="1260"/>
      <c r="C73" s="1260"/>
      <c r="D73" s="1260"/>
      <c r="E73" s="1260"/>
      <c r="F73" s="1260"/>
      <c r="G73" s="1260"/>
      <c r="H73" s="1260"/>
      <c r="I73" s="1260"/>
      <c r="J73" s="1260"/>
      <c r="K73" s="1260"/>
      <c r="L73" s="1260"/>
      <c r="M73" s="1260"/>
      <c r="N73" s="1261"/>
      <c r="O73" s="12"/>
      <c r="P73" s="11"/>
    </row>
    <row r="74" spans="1:16" x14ac:dyDescent="0.25">
      <c r="A74" s="1319"/>
      <c r="B74" s="1320" t="s">
        <v>2542</v>
      </c>
      <c r="C74" s="17"/>
      <c r="D74" s="16"/>
      <c r="E74" s="16"/>
      <c r="F74" s="16"/>
      <c r="G74" s="16"/>
      <c r="H74" s="16"/>
      <c r="I74" s="16"/>
      <c r="J74" s="1255"/>
      <c r="K74" s="16"/>
      <c r="L74" s="1255"/>
      <c r="M74" s="1255"/>
      <c r="N74" s="1262"/>
      <c r="O74" s="12"/>
      <c r="P74" s="11"/>
    </row>
    <row r="75" spans="1:16" x14ac:dyDescent="0.25">
      <c r="A75" s="1319"/>
      <c r="B75" s="1320" t="s">
        <v>2543</v>
      </c>
      <c r="C75" s="17"/>
      <c r="D75" s="16"/>
      <c r="E75" s="16"/>
      <c r="F75" s="16"/>
      <c r="G75" s="16"/>
      <c r="H75" s="16"/>
      <c r="I75" s="16"/>
      <c r="J75" s="1255"/>
      <c r="K75" s="16"/>
      <c r="L75" s="1255"/>
      <c r="M75" s="1255"/>
      <c r="N75" s="1262"/>
      <c r="O75" s="12"/>
      <c r="P75" s="11"/>
    </row>
    <row r="76" spans="1:16" x14ac:dyDescent="0.25">
      <c r="A76" s="1319"/>
      <c r="B76" s="1320" t="s">
        <v>2543</v>
      </c>
      <c r="C76" s="17"/>
      <c r="D76" s="16"/>
      <c r="E76" s="16"/>
      <c r="F76" s="16"/>
      <c r="G76" s="16"/>
      <c r="H76" s="16"/>
      <c r="I76" s="16"/>
      <c r="J76" s="1255"/>
      <c r="K76" s="16"/>
      <c r="L76" s="1255"/>
      <c r="M76" s="1255"/>
      <c r="N76" s="1262"/>
      <c r="O76" s="12"/>
      <c r="P76" s="11"/>
    </row>
    <row r="77" spans="1:16" x14ac:dyDescent="0.25">
      <c r="A77" s="1319"/>
      <c r="B77" s="1320" t="s">
        <v>2543</v>
      </c>
      <c r="C77" s="17"/>
      <c r="D77" s="16"/>
      <c r="E77" s="16"/>
      <c r="F77" s="16"/>
      <c r="G77" s="16"/>
      <c r="H77" s="16"/>
      <c r="I77" s="16"/>
      <c r="J77" s="1255"/>
      <c r="K77" s="16"/>
      <c r="L77" s="1255"/>
      <c r="M77" s="1255"/>
      <c r="N77" s="1262"/>
      <c r="O77" s="12"/>
      <c r="P77" s="11"/>
    </row>
    <row r="78" spans="1:16" x14ac:dyDescent="0.25">
      <c r="A78" s="1319"/>
      <c r="B78" s="1320" t="s">
        <v>2542</v>
      </c>
      <c r="C78" s="17"/>
      <c r="D78" s="16"/>
      <c r="E78" s="16"/>
      <c r="F78" s="16"/>
      <c r="G78" s="16"/>
      <c r="H78" s="16"/>
      <c r="I78" s="16"/>
      <c r="J78" s="1255"/>
      <c r="K78" s="16"/>
      <c r="L78" s="1255"/>
      <c r="M78" s="1255"/>
      <c r="N78" s="1262"/>
      <c r="O78" s="12"/>
      <c r="P78" s="11"/>
    </row>
    <row r="79" spans="1:16" x14ac:dyDescent="0.25">
      <c r="A79" s="1319"/>
      <c r="B79" s="1320" t="s">
        <v>2544</v>
      </c>
      <c r="C79" s="17"/>
      <c r="D79" s="16"/>
      <c r="E79" s="16"/>
      <c r="F79" s="16"/>
      <c r="G79" s="16"/>
      <c r="H79" s="16"/>
      <c r="I79" s="16"/>
      <c r="J79" s="1255"/>
      <c r="K79" s="16"/>
      <c r="L79" s="1255"/>
      <c r="M79" s="1255"/>
      <c r="N79" s="1262"/>
      <c r="O79" s="12"/>
      <c r="P79" s="11"/>
    </row>
    <row r="80" spans="1:16" x14ac:dyDescent="0.25">
      <c r="A80" s="1319"/>
      <c r="B80" s="1346" t="s">
        <v>2542</v>
      </c>
      <c r="C80" s="17"/>
      <c r="D80" s="16"/>
      <c r="E80" s="16"/>
      <c r="F80" s="16"/>
      <c r="G80" s="16"/>
      <c r="H80" s="16"/>
      <c r="I80" s="16"/>
      <c r="J80" s="1255"/>
      <c r="K80" s="16"/>
      <c r="L80" s="1255"/>
      <c r="M80" s="1255"/>
      <c r="N80" s="1262"/>
      <c r="O80" s="12"/>
      <c r="P80" s="11"/>
    </row>
    <row r="81" spans="1:16" x14ac:dyDescent="0.25">
      <c r="A81" s="1319"/>
      <c r="B81" s="1346"/>
      <c r="C81" s="17"/>
      <c r="D81" s="16"/>
      <c r="E81" s="16"/>
      <c r="F81" s="16"/>
      <c r="G81" s="16"/>
      <c r="H81" s="16"/>
      <c r="I81" s="16"/>
      <c r="J81" s="1255"/>
      <c r="K81" s="16"/>
      <c r="L81" s="1255"/>
      <c r="M81" s="1255"/>
      <c r="N81" s="1262"/>
      <c r="O81" s="12"/>
      <c r="P81" s="11"/>
    </row>
    <row r="82" spans="1:16" x14ac:dyDescent="0.25">
      <c r="A82" s="1319"/>
      <c r="B82" s="17"/>
      <c r="C82" s="17"/>
      <c r="D82" s="16"/>
      <c r="E82" s="16"/>
      <c r="F82" s="12"/>
      <c r="G82" s="12"/>
      <c r="H82" s="12"/>
      <c r="I82" s="12"/>
      <c r="J82" s="1255"/>
      <c r="K82" s="12"/>
      <c r="L82" s="1255"/>
      <c r="M82" s="1255"/>
      <c r="N82" s="1262"/>
      <c r="O82" s="12"/>
      <c r="P82" s="11"/>
    </row>
    <row r="83" spans="1:16" x14ac:dyDescent="0.25">
      <c r="A83" s="1319"/>
      <c r="B83" s="16"/>
      <c r="C83" s="16"/>
      <c r="D83" s="16"/>
      <c r="E83" s="16"/>
      <c r="F83" s="12"/>
      <c r="G83" s="12"/>
      <c r="H83" s="12"/>
      <c r="I83" s="12"/>
      <c r="J83" s="1255"/>
      <c r="K83" s="12"/>
      <c r="L83" s="1255"/>
      <c r="M83" s="1255"/>
      <c r="N83" s="1262"/>
      <c r="O83" s="12"/>
      <c r="P83" s="11"/>
    </row>
    <row r="84" spans="1:16" x14ac:dyDescent="0.25">
      <c r="A84" s="1319"/>
      <c r="B84" s="16"/>
      <c r="C84" s="16"/>
      <c r="D84" s="16"/>
      <c r="E84" s="16"/>
      <c r="F84" s="12"/>
      <c r="G84" s="12"/>
      <c r="H84" s="12"/>
      <c r="I84" s="12"/>
      <c r="J84" s="1255"/>
      <c r="K84" s="12"/>
      <c r="L84" s="1255"/>
      <c r="M84" s="1255"/>
      <c r="N84" s="1262"/>
      <c r="O84" s="12"/>
      <c r="P84" s="11"/>
    </row>
    <row r="85" spans="1:16" x14ac:dyDescent="0.25">
      <c r="A85" s="1319"/>
      <c r="B85" s="16"/>
      <c r="C85" s="16"/>
      <c r="D85" s="16"/>
      <c r="E85" s="16"/>
      <c r="F85" s="12"/>
      <c r="G85" s="12"/>
      <c r="H85" s="12"/>
      <c r="I85" s="12"/>
      <c r="J85" s="1255"/>
      <c r="K85" s="12"/>
      <c r="L85" s="1255"/>
      <c r="M85" s="1255"/>
      <c r="N85" s="1262"/>
      <c r="O85" s="12"/>
      <c r="P85" s="11"/>
    </row>
    <row r="86" spans="1:16" x14ac:dyDescent="0.25">
      <c r="A86" s="1319"/>
      <c r="B86" s="16"/>
      <c r="C86" s="16"/>
      <c r="D86" s="16"/>
      <c r="E86" s="16"/>
      <c r="F86" s="12"/>
      <c r="G86" s="12"/>
      <c r="H86" s="12"/>
      <c r="I86" s="12"/>
      <c r="J86" s="1255"/>
      <c r="K86" s="12"/>
      <c r="L86" s="1255"/>
      <c r="M86" s="1255"/>
      <c r="N86" s="1262"/>
      <c r="O86" s="12"/>
      <c r="P86" s="11"/>
    </row>
    <row r="87" spans="1:16" x14ac:dyDescent="0.25">
      <c r="A87" s="1319"/>
      <c r="B87" s="16"/>
      <c r="C87" s="16"/>
      <c r="D87" s="16"/>
      <c r="E87" s="16"/>
      <c r="F87" s="12"/>
      <c r="G87" s="12"/>
      <c r="H87" s="12"/>
      <c r="I87" s="12"/>
      <c r="J87" s="1255"/>
      <c r="K87" s="12"/>
      <c r="L87" s="1255"/>
      <c r="M87" s="1255"/>
      <c r="N87" s="1262"/>
      <c r="O87" s="12"/>
      <c r="P87" s="11"/>
    </row>
    <row r="88" spans="1:16" x14ac:dyDescent="0.25">
      <c r="A88" s="1319"/>
      <c r="B88" s="1263"/>
      <c r="C88" s="1263"/>
      <c r="D88" s="1263"/>
      <c r="E88" s="1263"/>
      <c r="F88" s="1263"/>
      <c r="G88" s="1263"/>
      <c r="H88" s="1263"/>
      <c r="I88" s="1263"/>
      <c r="J88" s="1263"/>
      <c r="K88" s="1263"/>
      <c r="L88" s="1263"/>
      <c r="M88" s="1263"/>
      <c r="N88" s="1264"/>
      <c r="O88" s="12"/>
      <c r="P88" s="11"/>
    </row>
    <row r="89" spans="1:16" x14ac:dyDescent="0.25">
      <c r="A89" s="16"/>
      <c r="B89" s="16"/>
      <c r="C89" s="16"/>
      <c r="D89" s="16"/>
      <c r="E89" s="16"/>
      <c r="F89" s="12"/>
      <c r="G89" s="12"/>
      <c r="H89" s="12"/>
      <c r="I89" s="12"/>
      <c r="J89" s="12"/>
      <c r="K89" s="12"/>
      <c r="L89" s="12"/>
      <c r="M89" s="12"/>
      <c r="N89" s="12"/>
      <c r="O89" s="12"/>
      <c r="P89" s="11"/>
    </row>
    <row r="90" spans="1:16" ht="15.75" thickBot="1" x14ac:dyDescent="0.3">
      <c r="A90" s="16"/>
      <c r="B90" s="16"/>
      <c r="C90" s="16"/>
      <c r="D90" s="16"/>
      <c r="E90" s="16"/>
      <c r="F90" s="16"/>
      <c r="G90" s="16"/>
      <c r="H90" s="16"/>
      <c r="I90" s="16"/>
      <c r="J90" s="16"/>
      <c r="K90" s="16"/>
      <c r="L90" s="12"/>
      <c r="M90" s="12"/>
      <c r="N90" s="12"/>
      <c r="O90" s="12"/>
      <c r="P90" s="11"/>
    </row>
    <row r="91" spans="1:16" ht="15.75" thickBot="1" x14ac:dyDescent="0.3">
      <c r="A91" s="16"/>
      <c r="B91" s="1321" t="s">
        <v>1698</v>
      </c>
      <c r="C91" s="16"/>
      <c r="D91" s="16"/>
      <c r="E91" s="16"/>
      <c r="F91" s="16"/>
      <c r="G91" s="16"/>
      <c r="H91" s="16"/>
      <c r="I91" s="16"/>
      <c r="J91" s="16"/>
      <c r="K91" s="16"/>
      <c r="L91" s="930"/>
      <c r="M91" s="930"/>
      <c r="N91" s="930"/>
      <c r="O91" s="12"/>
      <c r="P91" s="11"/>
    </row>
    <row r="92" spans="1:16" ht="12" customHeight="1" thickBot="1" x14ac:dyDescent="0.3">
      <c r="A92" s="16"/>
      <c r="B92" s="16"/>
      <c r="C92" s="16"/>
      <c r="D92" s="16"/>
      <c r="E92" s="16"/>
      <c r="F92" s="16"/>
      <c r="G92" s="16"/>
      <c r="H92" s="16"/>
      <c r="I92" s="16"/>
      <c r="J92" s="16"/>
      <c r="K92" s="16"/>
      <c r="L92" s="930"/>
      <c r="M92" s="930"/>
      <c r="N92" s="930"/>
      <c r="O92" s="12"/>
      <c r="P92" s="11"/>
    </row>
    <row r="93" spans="1:16" ht="16.5" customHeight="1" thickBot="1" x14ac:dyDescent="0.3">
      <c r="A93" s="16"/>
      <c r="B93" s="1316" t="s">
        <v>1699</v>
      </c>
      <c r="C93" s="1317"/>
      <c r="D93" s="1317"/>
      <c r="E93" s="1317"/>
      <c r="F93" s="16"/>
      <c r="G93" s="1316" t="s">
        <v>2545</v>
      </c>
      <c r="H93" s="1317"/>
      <c r="I93" s="1317"/>
      <c r="J93" s="1317"/>
      <c r="K93" s="1316"/>
      <c r="L93" s="1317"/>
      <c r="M93" s="930"/>
      <c r="N93" s="930"/>
      <c r="O93" s="12"/>
      <c r="P93" s="11"/>
    </row>
    <row r="94" spans="1:16" ht="16.5" customHeight="1" thickBot="1" x14ac:dyDescent="0.3">
      <c r="A94" s="16"/>
      <c r="B94" s="1316" t="s">
        <v>2289</v>
      </c>
      <c r="C94" s="1317"/>
      <c r="D94" s="1317"/>
      <c r="E94" s="1317"/>
      <c r="F94" s="1265"/>
      <c r="G94" s="1316" t="s">
        <v>1700</v>
      </c>
      <c r="H94" s="1317"/>
      <c r="I94" s="1317"/>
      <c r="J94" s="1317"/>
      <c r="K94" s="1316"/>
      <c r="L94" s="1317"/>
      <c r="M94" s="930"/>
      <c r="N94" s="930"/>
      <c r="O94" s="12"/>
      <c r="P94" s="11"/>
    </row>
    <row r="95" spans="1:16" ht="16.5" customHeight="1" thickBot="1" x14ac:dyDescent="0.3">
      <c r="A95" s="16"/>
      <c r="B95" s="1316" t="s">
        <v>1701</v>
      </c>
      <c r="C95" s="1317"/>
      <c r="D95" s="1317"/>
      <c r="E95" s="1317"/>
      <c r="F95" s="1265"/>
      <c r="G95" s="1316" t="s">
        <v>1702</v>
      </c>
      <c r="H95" s="1317"/>
      <c r="I95" s="1317"/>
      <c r="J95" s="1317"/>
      <c r="K95" s="1316"/>
      <c r="L95" s="1317"/>
      <c r="M95" s="930"/>
      <c r="N95" s="930"/>
      <c r="O95" s="12"/>
      <c r="P95" s="11"/>
    </row>
    <row r="96" spans="1:16" ht="16.5" customHeight="1" thickBot="1" x14ac:dyDescent="0.3">
      <c r="A96" s="16"/>
      <c r="B96" s="1316" t="s">
        <v>1703</v>
      </c>
      <c r="C96" s="1317"/>
      <c r="D96" s="1317"/>
      <c r="E96" s="1317"/>
      <c r="F96" s="1265"/>
      <c r="G96" s="1316" t="s">
        <v>2466</v>
      </c>
      <c r="H96" s="1317"/>
      <c r="I96" s="1317"/>
      <c r="J96" s="1317"/>
      <c r="K96" s="1316"/>
      <c r="L96" s="1317"/>
      <c r="M96" s="930"/>
      <c r="N96" s="930"/>
      <c r="O96" s="12"/>
      <c r="P96" s="11"/>
    </row>
    <row r="97" spans="1:16" ht="16.5" customHeight="1" thickBot="1" x14ac:dyDescent="0.3">
      <c r="A97" s="16"/>
      <c r="B97" s="1316" t="s">
        <v>1704</v>
      </c>
      <c r="C97" s="1317"/>
      <c r="D97" s="1317"/>
      <c r="E97" s="1317"/>
      <c r="F97" s="1265"/>
      <c r="G97" s="1316" t="s">
        <v>2546</v>
      </c>
      <c r="H97" s="1317"/>
      <c r="I97" s="1317"/>
      <c r="J97" s="1317"/>
      <c r="K97" s="1316"/>
      <c r="L97" s="1317"/>
      <c r="M97" s="930"/>
      <c r="N97" s="930"/>
      <c r="O97" s="12"/>
      <c r="P97" s="11"/>
    </row>
    <row r="98" spans="1:16" ht="16.5" customHeight="1" thickBot="1" x14ac:dyDescent="0.3">
      <c r="A98" s="16"/>
      <c r="B98" s="1316" t="s">
        <v>1705</v>
      </c>
      <c r="C98" s="1317"/>
      <c r="D98" s="1317"/>
      <c r="E98" s="1317"/>
      <c r="F98" s="1265"/>
      <c r="G98" s="1316" t="s">
        <v>2547</v>
      </c>
      <c r="H98" s="1317"/>
      <c r="I98" s="1317"/>
      <c r="J98" s="1317"/>
      <c r="K98" s="1316"/>
      <c r="L98" s="1317"/>
      <c r="M98" s="930"/>
      <c r="N98" s="930"/>
      <c r="O98" s="12"/>
      <c r="P98" s="11"/>
    </row>
    <row r="99" spans="1:16" ht="16.5" customHeight="1" thickBot="1" x14ac:dyDescent="0.3">
      <c r="A99" s="16"/>
      <c r="B99" s="1316" t="s">
        <v>2548</v>
      </c>
      <c r="C99" s="1317"/>
      <c r="D99" s="1317"/>
      <c r="E99" s="1317"/>
      <c r="F99" s="1265"/>
      <c r="G99" s="1316" t="s">
        <v>2549</v>
      </c>
      <c r="H99" s="1317"/>
      <c r="I99" s="1317"/>
      <c r="J99" s="1317"/>
      <c r="K99" s="1316"/>
      <c r="L99" s="1317"/>
      <c r="M99" s="930"/>
      <c r="N99" s="930"/>
      <c r="O99" s="12"/>
      <c r="P99" s="11"/>
    </row>
    <row r="100" spans="1:16" ht="16.5" customHeight="1" x14ac:dyDescent="0.25">
      <c r="A100" s="16"/>
      <c r="B100" s="1316" t="s">
        <v>2550</v>
      </c>
      <c r="C100" s="1317"/>
      <c r="D100" s="1317"/>
      <c r="E100" s="1317"/>
      <c r="F100" s="1265"/>
      <c r="G100" s="1316" t="s">
        <v>1707</v>
      </c>
      <c r="H100" s="1317"/>
      <c r="I100" s="1317"/>
      <c r="J100" s="1317"/>
      <c r="K100" s="1316"/>
      <c r="L100" s="1317"/>
      <c r="M100" s="12"/>
      <c r="N100" s="12"/>
      <c r="O100" s="12"/>
      <c r="P100" s="11"/>
    </row>
    <row r="101" spans="1:16" ht="16.5" customHeight="1" x14ac:dyDescent="0.25">
      <c r="A101" s="16"/>
      <c r="B101" s="1316" t="s">
        <v>1706</v>
      </c>
      <c r="C101" s="1317"/>
      <c r="D101" s="1317"/>
      <c r="E101" s="1317"/>
      <c r="F101" s="1265"/>
      <c r="G101" s="1316" t="s">
        <v>1708</v>
      </c>
      <c r="H101" s="1317"/>
      <c r="I101" s="1317"/>
      <c r="J101" s="1317"/>
      <c r="K101" s="1316"/>
      <c r="L101" s="1317"/>
      <c r="M101" s="12"/>
      <c r="N101" s="12"/>
      <c r="O101" s="12"/>
      <c r="P101" s="11"/>
    </row>
    <row r="102" spans="1:16" ht="16.5" customHeight="1" x14ac:dyDescent="0.25">
      <c r="A102" s="16"/>
      <c r="B102" s="1316" t="s">
        <v>2551</v>
      </c>
      <c r="C102" s="1317"/>
      <c r="D102" s="1317"/>
      <c r="E102" s="1317"/>
      <c r="F102" s="1265"/>
      <c r="G102" s="1316" t="s">
        <v>2552</v>
      </c>
      <c r="H102" s="1317"/>
      <c r="I102" s="1317"/>
      <c r="J102" s="1317"/>
      <c r="K102" s="1316"/>
      <c r="L102" s="1317"/>
      <c r="M102" s="12"/>
      <c r="N102" s="12"/>
      <c r="O102" s="12"/>
      <c r="P102" s="11"/>
    </row>
    <row r="103" spans="1:16" ht="16.5" customHeight="1" x14ac:dyDescent="0.25">
      <c r="A103" s="16"/>
      <c r="B103" s="1316" t="s">
        <v>2553</v>
      </c>
      <c r="C103" s="1317"/>
      <c r="D103" s="1317"/>
      <c r="E103" s="1317"/>
      <c r="F103" s="1265"/>
      <c r="G103" s="1316" t="s">
        <v>1709</v>
      </c>
      <c r="H103" s="1317"/>
      <c r="I103" s="1317"/>
      <c r="J103" s="1317"/>
      <c r="K103" s="1316"/>
      <c r="L103" s="1317"/>
      <c r="M103" s="12"/>
      <c r="N103" s="12"/>
      <c r="O103" s="12"/>
      <c r="P103" s="11"/>
    </row>
    <row r="104" spans="1:16" ht="16.5" customHeight="1" x14ac:dyDescent="0.25">
      <c r="A104" s="16"/>
      <c r="B104" s="1316" t="s">
        <v>2290</v>
      </c>
      <c r="C104" s="1317"/>
      <c r="D104" s="1317"/>
      <c r="E104" s="1317"/>
      <c r="F104" s="1265"/>
      <c r="G104" s="1316" t="s">
        <v>2554</v>
      </c>
      <c r="H104" s="1317"/>
      <c r="I104" s="1317"/>
      <c r="J104" s="1317"/>
      <c r="K104" s="1316"/>
      <c r="L104" s="1317"/>
      <c r="M104" s="12"/>
      <c r="N104" s="12"/>
      <c r="O104" s="12"/>
      <c r="P104" s="11"/>
    </row>
    <row r="105" spans="1:16" ht="16.5" customHeight="1" x14ac:dyDescent="0.25">
      <c r="A105" s="16"/>
      <c r="B105" s="1316" t="s">
        <v>1710</v>
      </c>
      <c r="C105" s="1317"/>
      <c r="D105" s="1317"/>
      <c r="E105" s="1317"/>
      <c r="F105" s="1265"/>
      <c r="G105" s="1316" t="s">
        <v>1711</v>
      </c>
      <c r="H105" s="1317"/>
      <c r="I105" s="1317"/>
      <c r="J105" s="1317"/>
      <c r="K105" s="1316"/>
      <c r="L105" s="1317"/>
      <c r="M105" s="12"/>
      <c r="N105" s="12"/>
      <c r="O105" s="12"/>
      <c r="P105" s="11"/>
    </row>
    <row r="106" spans="1:16" ht="16.5" customHeight="1" x14ac:dyDescent="0.25">
      <c r="A106" s="16"/>
      <c r="B106" s="1316" t="s">
        <v>2555</v>
      </c>
      <c r="C106" s="1317"/>
      <c r="D106" s="1317"/>
      <c r="E106" s="1317"/>
      <c r="F106" s="1265"/>
      <c r="G106" s="1316" t="s">
        <v>2556</v>
      </c>
      <c r="H106" s="1317"/>
      <c r="I106" s="1317"/>
      <c r="J106" s="1317"/>
      <c r="K106" s="1316"/>
      <c r="L106" s="1317"/>
      <c r="M106" s="12"/>
      <c r="N106" s="12"/>
      <c r="O106" s="12"/>
      <c r="P106" s="11"/>
    </row>
    <row r="107" spans="1:16" ht="16.5" customHeight="1" x14ac:dyDescent="0.25">
      <c r="A107" s="16"/>
      <c r="B107" s="1316" t="s">
        <v>1712</v>
      </c>
      <c r="C107" s="1317"/>
      <c r="D107" s="1317"/>
      <c r="E107" s="1317"/>
      <c r="F107" s="1265"/>
      <c r="G107" s="1316" t="s">
        <v>2557</v>
      </c>
      <c r="H107" s="1317"/>
      <c r="I107" s="1317"/>
      <c r="J107" s="1317"/>
      <c r="K107" s="1316"/>
      <c r="L107" s="1317"/>
      <c r="M107" s="12"/>
      <c r="N107" s="12"/>
      <c r="O107" s="12"/>
      <c r="P107" s="11"/>
    </row>
    <row r="108" spans="1:16" ht="16.5" customHeight="1" x14ac:dyDescent="0.25">
      <c r="A108" s="16"/>
      <c r="B108" s="1316" t="s">
        <v>1713</v>
      </c>
      <c r="C108" s="1317"/>
      <c r="D108" s="1317"/>
      <c r="E108" s="1317"/>
      <c r="F108" s="1265"/>
      <c r="G108" s="1316" t="s">
        <v>1714</v>
      </c>
      <c r="H108" s="1317"/>
      <c r="I108" s="1317"/>
      <c r="J108" s="1317"/>
      <c r="K108" s="1316"/>
      <c r="L108" s="1317"/>
      <c r="M108" s="12"/>
      <c r="N108" s="12"/>
      <c r="O108" s="12"/>
      <c r="P108" s="11"/>
    </row>
    <row r="109" spans="1:16" ht="16.5" customHeight="1" x14ac:dyDescent="0.25">
      <c r="A109" s="16"/>
      <c r="B109" s="1316" t="s">
        <v>1715</v>
      </c>
      <c r="C109" s="1317"/>
      <c r="D109" s="1317"/>
      <c r="E109" s="1317"/>
      <c r="F109" s="1265"/>
      <c r="G109" s="1316" t="s">
        <v>2558</v>
      </c>
      <c r="H109" s="1317"/>
      <c r="I109" s="1317"/>
      <c r="J109" s="1317"/>
      <c r="K109" s="1316"/>
      <c r="L109" s="1317"/>
      <c r="M109" s="12"/>
      <c r="N109" s="12"/>
      <c r="O109" s="12"/>
      <c r="P109" s="11"/>
    </row>
    <row r="110" spans="1:16" ht="30" customHeight="1" x14ac:dyDescent="0.25">
      <c r="A110" s="16"/>
      <c r="B110" s="1347" t="s">
        <v>2559</v>
      </c>
      <c r="C110" s="1347"/>
      <c r="D110" s="1347"/>
      <c r="E110" s="1347"/>
      <c r="F110" s="1347"/>
      <c r="G110" s="1316" t="s">
        <v>2560</v>
      </c>
      <c r="H110" s="1317"/>
      <c r="I110" s="1317"/>
      <c r="J110" s="1317"/>
      <c r="K110" s="1316"/>
      <c r="L110" s="1317"/>
      <c r="M110" s="12"/>
      <c r="N110" s="12"/>
      <c r="O110" s="12"/>
      <c r="P110" s="11"/>
    </row>
    <row r="111" spans="1:16" ht="16.5" customHeight="1" x14ac:dyDescent="0.25">
      <c r="A111" s="16"/>
      <c r="B111" s="1316" t="s">
        <v>2465</v>
      </c>
      <c r="C111" s="1317"/>
      <c r="D111" s="1317"/>
      <c r="E111" s="1317"/>
      <c r="F111" s="1316"/>
      <c r="G111" s="1316"/>
      <c r="H111" s="1317"/>
      <c r="I111" s="1317"/>
      <c r="J111" s="1317"/>
      <c r="K111" s="1316"/>
      <c r="L111" s="1317"/>
      <c r="M111" s="12"/>
      <c r="N111" s="12"/>
      <c r="O111" s="12"/>
      <c r="P111" s="11"/>
    </row>
    <row r="112" spans="1:16"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sheetData>
  <sheetProtection algorithmName="SHA-512" hashValue="Xkolxay8Kv5/HKeLvVnUqJVvhPZNbWu4K81eqPOrlGAUQsXAZUWE4wRhgclSliRoOJfZMXleHsgz9z2GVJMjYQ==" saltValue="GoyUILwls793XiycdCtEzQ==" spinCount="100000" sheet="1" objects="1" scenarios="1" selectLockedCells="1"/>
  <mergeCells count="14">
    <mergeCell ref="B80:B81"/>
    <mergeCell ref="B110:F110"/>
    <mergeCell ref="A1:O1"/>
    <mergeCell ref="A11:D11"/>
    <mergeCell ref="B9:N9"/>
    <mergeCell ref="B20:N20"/>
    <mergeCell ref="B22:N22"/>
    <mergeCell ref="B26:N26"/>
    <mergeCell ref="A3:D3"/>
    <mergeCell ref="B5:N5"/>
    <mergeCell ref="B6:N6"/>
    <mergeCell ref="B7:N7"/>
    <mergeCell ref="B8:N8"/>
    <mergeCell ref="A24:D24"/>
  </mergeCells>
  <hyperlinks>
    <hyperlink ref="B104" r:id="rId1" display="OUT-2 Design" xr:uid="{00000000-0004-0000-0100-000000000000}"/>
    <hyperlink ref="G105" r:id="rId2" display="Quoc Viet Technology JSC" xr:uid="{00000000-0004-0000-0100-000001000000}"/>
    <hyperlink ref="G104" r:id="rId3" xr:uid="{00000000-0004-0000-0100-000002000000}"/>
    <hyperlink ref="B102" r:id="rId4" display="Lap Nguyen Corporation" xr:uid="{00000000-0004-0000-0100-000003000000}"/>
    <hyperlink ref="G102" r:id="rId5" display="NAMA Consulting Architecture Construction Investment., JSC." xr:uid="{00000000-0004-0000-0100-000004000000}"/>
    <hyperlink ref="G99" r:id="rId6" xr:uid="{00000000-0004-0000-0100-000005000000}"/>
    <hyperlink ref="G101" r:id="rId7" xr:uid="{00000000-0004-0000-0100-000006000000}"/>
    <hyperlink ref="G103" r:id="rId8" xr:uid="{00000000-0004-0000-0100-000007000000}"/>
    <hyperlink ref="B103" r:id="rId9" xr:uid="{00000000-0004-0000-0100-000008000000}"/>
    <hyperlink ref="G100" r:id="rId10" display="Hoang Tam Architecture &amp; Interior " xr:uid="{00000000-0004-0000-0100-000009000000}"/>
    <hyperlink ref="G97" r:id="rId11" xr:uid="{00000000-0004-0000-0100-00000A000000}"/>
    <hyperlink ref="G98" r:id="rId12" display="Dragon Capital" xr:uid="{00000000-0004-0000-0100-00000B000000}"/>
    <hyperlink ref="G105:L105" r:id="rId13" display="RCR infrastructure Vietnam " xr:uid="{00000000-0004-0000-0100-00000C000000}"/>
    <hyperlink ref="G104:L104" r:id="rId14" display="Phu Qui B.D.Q" xr:uid="{00000000-0004-0000-0100-00000D000000}"/>
    <hyperlink ref="B104:E104" r:id="rId15" display="PALM Landscape" xr:uid="{00000000-0004-0000-0100-00000E000000}"/>
    <hyperlink ref="G102:L102" r:id="rId16" display="New Era Block Tile JSC" xr:uid="{00000000-0004-0000-0100-00000F000000}"/>
    <hyperlink ref="B102:E102" r:id="rId17" display="NAMA Consulting Architecture Construction Investment., JSC." xr:uid="{00000000-0004-0000-0100-000010000000}"/>
    <hyperlink ref="G94" r:id="rId18" xr:uid="{00000000-0004-0000-0100-000011000000}"/>
    <hyperlink ref="B95" r:id="rId19" xr:uid="{00000000-0004-0000-0100-000012000000}"/>
    <hyperlink ref="G95" r:id="rId20" xr:uid="{00000000-0004-0000-0100-000013000000}"/>
    <hyperlink ref="B96" r:id="rId21" xr:uid="{00000000-0004-0000-0100-000014000000}"/>
    <hyperlink ref="G96" r:id="rId22" display="http://www.cc1mekong.com/" xr:uid="{00000000-0004-0000-0100-000015000000}"/>
    <hyperlink ref="B97" r:id="rId23" xr:uid="{00000000-0004-0000-0100-000016000000}"/>
    <hyperlink ref="B98" r:id="rId24" xr:uid="{00000000-0004-0000-0100-000017000000}"/>
    <hyperlink ref="B100" r:id="rId25" xr:uid="{00000000-0004-0000-0100-000018000000}"/>
    <hyperlink ref="B107" r:id="rId26" xr:uid="{00000000-0004-0000-0100-000019000000}"/>
    <hyperlink ref="G107" r:id="rId27" xr:uid="{00000000-0004-0000-0100-00001A000000}"/>
    <hyperlink ref="B93" r:id="rId28" xr:uid="{00000000-0004-0000-0100-00001B000000}"/>
    <hyperlink ref="B108" r:id="rId29" xr:uid="{00000000-0004-0000-0100-00001C000000}"/>
    <hyperlink ref="G108" r:id="rId30" xr:uid="{00000000-0004-0000-0100-00001D000000}"/>
    <hyperlink ref="G109" r:id="rId31" xr:uid="{00000000-0004-0000-0100-00001E000000}"/>
    <hyperlink ref="B109" r:id="rId32" xr:uid="{00000000-0004-0000-0100-00001F000000}"/>
    <hyperlink ref="G110" r:id="rId33" xr:uid="{00000000-0004-0000-0100-000020000000}"/>
    <hyperlink ref="B111" r:id="rId34" xr:uid="{00000000-0004-0000-0100-000021000000}"/>
    <hyperlink ref="B110:F110" r:id="rId35" display="Vietnam Investment Consulting and Construction Designing JSC " xr:uid="{00000000-0004-0000-0100-000022000000}"/>
    <hyperlink ref="B105" r:id="rId36" xr:uid="{00000000-0004-0000-0100-000023000000}"/>
    <hyperlink ref="B106" r:id="rId37" xr:uid="{00000000-0004-0000-0100-000024000000}"/>
  </hyperlinks>
  <pageMargins left="0.7" right="0.7" top="0.75" bottom="0.75" header="0.3" footer="0.3"/>
  <drawing r:id="rId3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tabColor rgb="FF58B527"/>
  </sheetPr>
  <dimension ref="A1:P148"/>
  <sheetViews>
    <sheetView showRowColHeaders="0" workbookViewId="0">
      <pane ySplit="7" topLeftCell="A8" activePane="bottomLeft" state="frozen"/>
      <selection activeCell="E9" sqref="E9:F9"/>
      <selection pane="bottomLeft" activeCell="F14" sqref="F14"/>
    </sheetView>
  </sheetViews>
  <sheetFormatPr defaultColWidth="0" defaultRowHeight="15" customHeight="1" zeroHeight="1" x14ac:dyDescent="0.25"/>
  <cols>
    <col min="1" max="1" width="4.5703125" style="38" customWidth="1"/>
    <col min="2" max="2" width="20.7109375" style="38" customWidth="1"/>
    <col min="3" max="3" width="22.140625" style="38" customWidth="1"/>
    <col min="4" max="4" width="20.7109375" style="38" customWidth="1"/>
    <col min="5" max="5" width="21.85546875" style="38" customWidth="1"/>
    <col min="6" max="6" width="20.7109375" style="38" customWidth="1"/>
    <col min="7" max="7" width="17.5703125" style="38" customWidth="1"/>
    <col min="8" max="8" width="21.28515625" style="38" customWidth="1"/>
    <col min="9" max="9" width="6.7109375" style="38" customWidth="1"/>
    <col min="10" max="12" width="7.85546875" style="38" customWidth="1"/>
    <col min="13" max="13" width="9.140625" style="38" hidden="1" customWidth="1"/>
    <col min="14" max="14" width="35.28515625" style="38" hidden="1" customWidth="1"/>
    <col min="15" max="16384" width="9.140625" style="38" hidden="1"/>
  </cols>
  <sheetData>
    <row r="1" spans="1:15" ht="25.5" customHeight="1" x14ac:dyDescent="0.25">
      <c r="A1" s="1584" t="s">
        <v>577</v>
      </c>
      <c r="B1" s="1584"/>
      <c r="C1" s="1584"/>
      <c r="D1" s="1584"/>
      <c r="E1" s="1584"/>
      <c r="F1" s="1584"/>
      <c r="G1" s="1584"/>
      <c r="H1" s="1584"/>
      <c r="I1" s="1584"/>
      <c r="J1" s="1584"/>
      <c r="K1" s="1584"/>
      <c r="L1" s="1584"/>
    </row>
    <row r="2" spans="1:15" ht="15" customHeight="1" x14ac:dyDescent="0.25">
      <c r="A2" s="50"/>
      <c r="B2" s="50"/>
      <c r="C2" s="50"/>
      <c r="D2" s="50"/>
      <c r="E2" s="50"/>
      <c r="F2" s="49"/>
      <c r="G2" s="49"/>
      <c r="H2" s="1822" t="s">
        <v>512</v>
      </c>
      <c r="I2" s="1822"/>
      <c r="J2" s="1822"/>
      <c r="K2" s="212" t="s">
        <v>59</v>
      </c>
      <c r="L2" s="212" t="s">
        <v>70</v>
      </c>
    </row>
    <row r="3" spans="1:15" ht="15" customHeight="1" x14ac:dyDescent="0.25">
      <c r="A3" s="50"/>
      <c r="B3" s="50"/>
      <c r="C3" s="50"/>
      <c r="D3" s="50"/>
      <c r="E3" s="50"/>
      <c r="F3" s="49"/>
      <c r="G3" s="49"/>
      <c r="H3" s="1822"/>
      <c r="I3" s="1822"/>
      <c r="J3" s="1822"/>
      <c r="K3" s="212" t="s">
        <v>63</v>
      </c>
      <c r="L3" s="212" t="s">
        <v>74</v>
      </c>
    </row>
    <row r="4" spans="1:15" ht="15" customHeight="1" x14ac:dyDescent="0.25">
      <c r="A4" s="50"/>
      <c r="B4" s="50"/>
      <c r="C4" s="50"/>
      <c r="D4" s="50"/>
      <c r="E4" s="50"/>
      <c r="F4" s="49"/>
      <c r="G4" s="49"/>
      <c r="H4" s="1863"/>
      <c r="I4" s="1863"/>
      <c r="J4" s="1863"/>
      <c r="K4" s="212" t="s">
        <v>67</v>
      </c>
      <c r="L4" s="212" t="s">
        <v>78</v>
      </c>
    </row>
    <row r="5" spans="1:15" ht="18" customHeight="1" x14ac:dyDescent="0.25">
      <c r="A5" s="1823" t="s">
        <v>2588</v>
      </c>
      <c r="B5" s="1824"/>
      <c r="C5" s="1824"/>
      <c r="D5" s="1824"/>
      <c r="E5" s="1824"/>
      <c r="F5" s="1824"/>
      <c r="G5" s="1824"/>
      <c r="H5" s="1824"/>
      <c r="I5" s="1824"/>
      <c r="J5" s="1824"/>
      <c r="K5" s="1824"/>
      <c r="L5" s="1825"/>
    </row>
    <row r="6" spans="1:15" ht="18" customHeight="1" x14ac:dyDescent="0.25">
      <c r="A6" s="1828"/>
      <c r="B6" s="1829"/>
      <c r="C6" s="1829"/>
      <c r="D6" s="1829"/>
      <c r="E6" s="1829"/>
      <c r="F6" s="1829"/>
      <c r="G6" s="1829"/>
      <c r="H6" s="1829"/>
      <c r="I6" s="1829"/>
      <c r="J6" s="1829"/>
      <c r="K6" s="1829"/>
      <c r="L6" s="1830"/>
      <c r="N6" s="49"/>
      <c r="O6" s="49"/>
    </row>
    <row r="7" spans="1:15" ht="9" customHeight="1" x14ac:dyDescent="0.25">
      <c r="A7" s="49"/>
      <c r="B7" s="50"/>
      <c r="C7" s="50"/>
      <c r="D7" s="50"/>
      <c r="E7" s="50"/>
      <c r="F7" s="49"/>
      <c r="G7" s="49"/>
      <c r="H7" s="49"/>
      <c r="I7" s="49"/>
      <c r="J7" s="49"/>
      <c r="K7" s="49"/>
      <c r="L7" s="49"/>
      <c r="N7" s="49"/>
    </row>
    <row r="8" spans="1:15" ht="18" customHeight="1" x14ac:dyDescent="0.25">
      <c r="A8" s="1591" t="s">
        <v>579</v>
      </c>
      <c r="B8" s="1591"/>
      <c r="C8" s="1591"/>
      <c r="D8" s="1591"/>
      <c r="E8" s="1591"/>
      <c r="F8" s="1591"/>
      <c r="G8" s="1591"/>
      <c r="H8" s="1591"/>
      <c r="I8" s="1591"/>
      <c r="J8" s="1591"/>
      <c r="K8" s="1591"/>
      <c r="L8" s="1591"/>
    </row>
    <row r="9" spans="1:15" ht="16.5" customHeight="1" x14ac:dyDescent="0.25">
      <c r="A9" s="49"/>
      <c r="B9" s="50"/>
      <c r="C9" s="50"/>
      <c r="D9" s="50"/>
      <c r="E9" s="50"/>
      <c r="F9" s="49"/>
      <c r="G9" s="49"/>
      <c r="H9" s="49"/>
      <c r="I9" s="49"/>
      <c r="J9" s="49"/>
      <c r="K9" s="49"/>
      <c r="L9" s="49"/>
    </row>
    <row r="10" spans="1:15" ht="19.5" customHeight="1" x14ac:dyDescent="0.25">
      <c r="A10" s="49"/>
      <c r="B10" s="1723" t="s">
        <v>178</v>
      </c>
      <c r="C10" s="1724"/>
      <c r="D10" s="1724"/>
      <c r="E10" s="1724"/>
      <c r="F10" s="442" t="s">
        <v>152</v>
      </c>
      <c r="G10" s="442" t="s">
        <v>53</v>
      </c>
      <c r="H10" s="90" t="s">
        <v>492</v>
      </c>
      <c r="I10" s="49"/>
      <c r="J10" s="49"/>
      <c r="K10" s="49"/>
      <c r="L10" s="49"/>
    </row>
    <row r="11" spans="1:15" ht="30" customHeight="1" x14ac:dyDescent="0.25">
      <c r="A11" s="49"/>
      <c r="B11" s="1819" t="s">
        <v>578</v>
      </c>
      <c r="C11" s="1820"/>
      <c r="D11" s="1820"/>
      <c r="E11" s="1821"/>
      <c r="F11" s="272">
        <v>1</v>
      </c>
      <c r="G11" s="272">
        <f>C40</f>
        <v>0</v>
      </c>
      <c r="H11" s="272" t="str">
        <f>C41</f>
        <v>No</v>
      </c>
      <c r="I11" s="49"/>
      <c r="J11" s="49"/>
      <c r="K11" s="49"/>
      <c r="L11" s="49"/>
      <c r="M11" s="38" t="str">
        <f>IF(G11&lt;&gt;0,IF(H11="No","No","Yes"),"Yes")</f>
        <v>Yes</v>
      </c>
    </row>
    <row r="12" spans="1:15" ht="54" customHeight="1" x14ac:dyDescent="0.25">
      <c r="A12" s="49"/>
      <c r="B12" s="1819" t="s">
        <v>1599</v>
      </c>
      <c r="C12" s="1820"/>
      <c r="D12" s="1820"/>
      <c r="E12" s="1821"/>
      <c r="F12" s="272">
        <v>3</v>
      </c>
      <c r="G12" s="272">
        <f>C66</f>
        <v>0</v>
      </c>
      <c r="H12" s="272" t="str">
        <f>C67</f>
        <v>No</v>
      </c>
      <c r="I12" s="49"/>
      <c r="J12" s="49"/>
      <c r="K12" s="49"/>
      <c r="L12" s="49"/>
      <c r="M12" s="38" t="str">
        <f>IF(G12&lt;&gt;0,IF(H12="No","No","Yes"),"Yes")</f>
        <v>Yes</v>
      </c>
    </row>
    <row r="13" spans="1:15" ht="30" customHeight="1" x14ac:dyDescent="0.25">
      <c r="A13" s="49"/>
      <c r="B13" s="1819" t="s">
        <v>2232</v>
      </c>
      <c r="C13" s="1820"/>
      <c r="D13" s="1820"/>
      <c r="E13" s="1821"/>
      <c r="F13" s="272">
        <v>1</v>
      </c>
      <c r="G13" s="272">
        <f>C97</f>
        <v>0</v>
      </c>
      <c r="H13" s="272" t="str">
        <f>C98</f>
        <v>No</v>
      </c>
      <c r="I13" s="49"/>
      <c r="J13" s="49"/>
      <c r="K13" s="49"/>
      <c r="L13" s="49"/>
      <c r="M13" s="38" t="str">
        <f t="shared" ref="M13:M14" si="0">IF(G13&lt;&gt;0,IF(H13="No","No","Yes"),"Yes")</f>
        <v>Yes</v>
      </c>
    </row>
    <row r="14" spans="1:15" ht="30" customHeight="1" x14ac:dyDescent="0.25">
      <c r="A14" s="49"/>
      <c r="B14" s="1853" t="s">
        <v>1784</v>
      </c>
      <c r="C14" s="1854"/>
      <c r="D14" s="1854"/>
      <c r="E14" s="1855"/>
      <c r="F14" s="947">
        <v>1</v>
      </c>
      <c r="G14" s="947">
        <f>C145</f>
        <v>0</v>
      </c>
      <c r="H14" s="947" t="str">
        <f>C146</f>
        <v>No</v>
      </c>
      <c r="I14" s="49"/>
      <c r="J14" s="49"/>
      <c r="K14" s="49"/>
      <c r="L14" s="49"/>
      <c r="M14" s="38" t="str">
        <f t="shared" si="0"/>
        <v>Yes</v>
      </c>
    </row>
    <row r="15" spans="1:15" ht="20.25" customHeight="1" x14ac:dyDescent="0.25">
      <c r="A15" s="49"/>
      <c r="B15" s="1856" t="s">
        <v>79</v>
      </c>
      <c r="C15" s="1857"/>
      <c r="D15" s="1857"/>
      <c r="E15" s="1858"/>
      <c r="F15" s="1019">
        <v>6</v>
      </c>
      <c r="G15" s="631">
        <f>MIN(6,SUM(G11:G14))</f>
        <v>0</v>
      </c>
      <c r="H15" s="631" t="str">
        <f>IF(COUNTIF(H11:H14,"No")=4,"No",IF(COUNTIF(M11:M14,"Yes")=4,"Yes","No"))</f>
        <v>No</v>
      </c>
      <c r="I15" s="49"/>
      <c r="J15" s="49"/>
      <c r="K15" s="49"/>
      <c r="L15" s="49"/>
    </row>
    <row r="16" spans="1:15" ht="18.75" customHeight="1" x14ac:dyDescent="0.25">
      <c r="A16" s="50"/>
      <c r="B16" s="50"/>
      <c r="C16" s="50"/>
      <c r="D16" s="50"/>
      <c r="E16" s="50"/>
      <c r="F16" s="49"/>
      <c r="G16" s="49"/>
      <c r="H16" s="49"/>
      <c r="I16" s="49"/>
      <c r="J16" s="49"/>
      <c r="K16" s="49"/>
      <c r="L16" s="49"/>
    </row>
    <row r="17" spans="1:12" ht="18" customHeight="1" x14ac:dyDescent="0.25">
      <c r="A17" s="1591" t="s">
        <v>580</v>
      </c>
      <c r="B17" s="1591"/>
      <c r="C17" s="1591"/>
      <c r="D17" s="1591"/>
      <c r="E17" s="1591"/>
      <c r="F17" s="1591"/>
      <c r="G17" s="1591"/>
      <c r="H17" s="1591"/>
      <c r="I17" s="1591"/>
      <c r="J17" s="1591"/>
      <c r="K17" s="1591"/>
      <c r="L17" s="1591"/>
    </row>
    <row r="18" spans="1:12" x14ac:dyDescent="0.25">
      <c r="A18" s="50"/>
      <c r="B18" s="50"/>
      <c r="C18" s="50"/>
      <c r="D18" s="50"/>
      <c r="E18" s="50"/>
      <c r="F18" s="50"/>
      <c r="G18" s="50"/>
      <c r="H18" s="50"/>
      <c r="I18" s="50"/>
      <c r="J18" s="50"/>
      <c r="K18" s="50"/>
      <c r="L18" s="50"/>
    </row>
    <row r="19" spans="1:12" ht="16.5" customHeight="1" x14ac:dyDescent="0.25">
      <c r="A19" s="1592" t="s">
        <v>245</v>
      </c>
      <c r="B19" s="1592"/>
      <c r="C19" s="1592"/>
      <c r="D19" s="50"/>
      <c r="E19" s="50"/>
      <c r="F19" s="50"/>
      <c r="G19" s="50"/>
      <c r="H19" s="50"/>
      <c r="I19" s="50"/>
      <c r="J19" s="50"/>
      <c r="K19" s="50"/>
      <c r="L19" s="50"/>
    </row>
    <row r="20" spans="1:12" ht="15" customHeight="1" x14ac:dyDescent="0.25">
      <c r="A20" s="50"/>
      <c r="B20" s="50"/>
      <c r="C20" s="50"/>
      <c r="D20" s="50"/>
      <c r="E20" s="50"/>
      <c r="F20" s="50"/>
      <c r="G20" s="50"/>
      <c r="H20" s="50"/>
      <c r="I20" s="50"/>
      <c r="J20" s="50"/>
      <c r="K20" s="50"/>
      <c r="L20" s="50"/>
    </row>
    <row r="21" spans="1:12" ht="15" customHeight="1" x14ac:dyDescent="0.25">
      <c r="A21" s="50"/>
      <c r="B21" s="581" t="s">
        <v>1255</v>
      </c>
      <c r="C21" s="50"/>
      <c r="D21" s="50"/>
      <c r="E21" s="50"/>
      <c r="F21" s="50"/>
      <c r="G21" s="50"/>
      <c r="H21" s="50"/>
      <c r="I21" s="50"/>
      <c r="J21" s="50"/>
      <c r="K21" s="50"/>
      <c r="L21" s="50"/>
    </row>
    <row r="22" spans="1:12" ht="15" customHeight="1" x14ac:dyDescent="0.25">
      <c r="A22" s="50"/>
      <c r="B22" s="50"/>
      <c r="C22" s="50"/>
      <c r="D22" s="50"/>
      <c r="E22" s="50"/>
      <c r="F22" s="50"/>
      <c r="G22" s="50"/>
      <c r="H22" s="50"/>
      <c r="I22" s="50"/>
      <c r="J22" s="50"/>
      <c r="K22" s="50"/>
      <c r="L22" s="50"/>
    </row>
    <row r="23" spans="1:12" ht="15" customHeight="1" x14ac:dyDescent="0.25">
      <c r="A23" s="50"/>
      <c r="B23" s="1818" t="s">
        <v>1256</v>
      </c>
      <c r="C23" s="1818"/>
      <c r="D23" s="1818"/>
      <c r="E23" s="1818"/>
      <c r="F23" s="1818"/>
      <c r="G23" s="1818"/>
      <c r="H23" s="1818"/>
      <c r="I23" s="50"/>
      <c r="J23" s="50"/>
      <c r="K23" s="50"/>
      <c r="L23" s="50"/>
    </row>
    <row r="24" spans="1:12" ht="15" customHeight="1" x14ac:dyDescent="0.25">
      <c r="A24" s="50"/>
      <c r="B24" s="1818"/>
      <c r="C24" s="1818"/>
      <c r="D24" s="1818"/>
      <c r="E24" s="1818"/>
      <c r="F24" s="1818"/>
      <c r="G24" s="1818"/>
      <c r="H24" s="1818"/>
      <c r="I24" s="50"/>
      <c r="J24" s="50"/>
      <c r="K24" s="50"/>
      <c r="L24" s="50"/>
    </row>
    <row r="25" spans="1:12" ht="15" customHeight="1" x14ac:dyDescent="0.25">
      <c r="A25" s="50"/>
      <c r="B25" s="50"/>
      <c r="C25" s="50"/>
      <c r="D25" s="50"/>
      <c r="E25" s="50"/>
      <c r="F25" s="50"/>
      <c r="G25" s="50"/>
      <c r="H25" s="50"/>
      <c r="I25" s="50"/>
      <c r="J25" s="50"/>
      <c r="K25" s="50"/>
      <c r="L25" s="50"/>
    </row>
    <row r="26" spans="1:12" ht="15" customHeight="1" x14ac:dyDescent="0.25">
      <c r="A26" s="50"/>
      <c r="B26" s="579" t="s">
        <v>1257</v>
      </c>
      <c r="C26" s="50"/>
      <c r="D26" s="50"/>
      <c r="E26" s="50"/>
      <c r="F26" s="50"/>
      <c r="G26" s="50"/>
      <c r="H26" s="50"/>
      <c r="I26" s="50"/>
      <c r="J26" s="50"/>
      <c r="K26" s="50"/>
      <c r="L26" s="50"/>
    </row>
    <row r="27" spans="1:12" ht="12" customHeight="1" x14ac:dyDescent="0.25">
      <c r="A27" s="50"/>
      <c r="B27" s="50"/>
      <c r="C27" s="50"/>
      <c r="D27" s="50"/>
      <c r="E27" s="50"/>
      <c r="F27" s="50"/>
      <c r="G27" s="50"/>
      <c r="H27" s="50"/>
      <c r="I27" s="50"/>
      <c r="J27" s="50"/>
      <c r="K27" s="50"/>
      <c r="L27" s="50"/>
    </row>
    <row r="28" spans="1:12" ht="18" customHeight="1" x14ac:dyDescent="0.25">
      <c r="A28" s="50"/>
      <c r="B28" s="1859" t="s">
        <v>1601</v>
      </c>
      <c r="C28" s="1590"/>
      <c r="D28" s="192"/>
      <c r="E28" s="50"/>
      <c r="F28" s="50"/>
      <c r="G28" s="50"/>
      <c r="H28" s="50"/>
      <c r="I28" s="50"/>
      <c r="J28" s="50"/>
      <c r="K28" s="50"/>
      <c r="L28" s="50"/>
    </row>
    <row r="29" spans="1:12" ht="18" customHeight="1" x14ac:dyDescent="0.25">
      <c r="A29" s="50"/>
      <c r="B29" s="1859" t="s">
        <v>1600</v>
      </c>
      <c r="C29" s="1590"/>
      <c r="D29" s="192"/>
      <c r="E29" s="50"/>
      <c r="F29" s="50"/>
      <c r="G29" s="50"/>
      <c r="H29" s="50"/>
      <c r="I29" s="50"/>
      <c r="J29" s="50"/>
      <c r="K29" s="50"/>
      <c r="L29" s="50"/>
    </row>
    <row r="30" spans="1:12" ht="15" customHeight="1" x14ac:dyDescent="0.25">
      <c r="A30" s="50"/>
      <c r="B30" s="50"/>
      <c r="C30" s="50"/>
      <c r="D30" s="50"/>
      <c r="E30" s="50"/>
      <c r="F30" s="50"/>
      <c r="G30" s="50"/>
      <c r="H30" s="50"/>
      <c r="I30" s="50"/>
      <c r="J30" s="50"/>
      <c r="K30" s="50"/>
      <c r="L30" s="50"/>
    </row>
    <row r="31" spans="1:12" ht="18" customHeight="1" x14ac:dyDescent="0.25">
      <c r="A31" s="50"/>
      <c r="B31" s="1623" t="s">
        <v>581</v>
      </c>
      <c r="C31" s="1623"/>
      <c r="D31" s="280">
        <f>IFERROR((D29-D28)/D29,0)</f>
        <v>0</v>
      </c>
      <c r="E31" s="50"/>
      <c r="F31" s="50"/>
      <c r="G31" s="50"/>
      <c r="H31" s="50"/>
      <c r="I31" s="50"/>
      <c r="J31" s="50"/>
      <c r="K31" s="50"/>
      <c r="L31" s="50"/>
    </row>
    <row r="32" spans="1:12" ht="19.5" customHeight="1" x14ac:dyDescent="0.25">
      <c r="A32" s="50"/>
      <c r="B32" s="50"/>
      <c r="C32" s="50"/>
      <c r="D32" s="50"/>
      <c r="E32" s="50"/>
      <c r="F32" s="50"/>
      <c r="G32" s="50"/>
      <c r="H32" s="50"/>
      <c r="I32" s="50"/>
      <c r="J32" s="50"/>
      <c r="K32" s="50"/>
      <c r="L32" s="50"/>
    </row>
    <row r="33" spans="1:12" ht="16.5" customHeight="1" x14ac:dyDescent="0.25">
      <c r="A33" s="1592" t="s">
        <v>186</v>
      </c>
      <c r="B33" s="1592"/>
      <c r="C33" s="1592"/>
      <c r="D33" s="50"/>
      <c r="E33" s="50"/>
      <c r="F33" s="50"/>
      <c r="G33" s="50"/>
      <c r="H33" s="50"/>
      <c r="I33" s="50"/>
      <c r="J33" s="50"/>
      <c r="K33" s="50"/>
      <c r="L33" s="50"/>
    </row>
    <row r="34" spans="1:12" ht="12" customHeight="1" x14ac:dyDescent="0.25">
      <c r="A34" s="49"/>
      <c r="B34" s="50"/>
      <c r="C34" s="50"/>
      <c r="D34" s="50"/>
      <c r="E34" s="49"/>
      <c r="F34" s="49"/>
      <c r="G34" s="49"/>
      <c r="H34" s="49"/>
      <c r="I34" s="49"/>
      <c r="J34" s="49"/>
      <c r="K34" s="49"/>
      <c r="L34" s="49"/>
    </row>
    <row r="35" spans="1:12" ht="18" customHeight="1" x14ac:dyDescent="0.25">
      <c r="A35" s="49"/>
      <c r="B35" s="1582" t="s">
        <v>1739</v>
      </c>
      <c r="C35" s="1583"/>
      <c r="D35" s="1583"/>
      <c r="E35" s="1583"/>
      <c r="F35" s="1583"/>
      <c r="G35" s="934" t="s">
        <v>1737</v>
      </c>
      <c r="H35" s="1589" t="s">
        <v>1738</v>
      </c>
      <c r="I35" s="1590"/>
      <c r="J35" s="49"/>
      <c r="K35" s="49"/>
      <c r="L35" s="49"/>
    </row>
    <row r="36" spans="1:12" ht="24" customHeight="1" x14ac:dyDescent="0.25">
      <c r="A36" s="49"/>
      <c r="B36" s="1576" t="s">
        <v>2589</v>
      </c>
      <c r="C36" s="1577"/>
      <c r="D36" s="1577"/>
      <c r="E36" s="1577"/>
      <c r="F36" s="1578"/>
      <c r="G36" s="471" t="s">
        <v>124</v>
      </c>
      <c r="H36" s="1587"/>
      <c r="I36" s="1588"/>
      <c r="J36" s="49"/>
      <c r="K36" s="49"/>
      <c r="L36" s="49"/>
    </row>
    <row r="37" spans="1:12" ht="19.5" customHeight="1" x14ac:dyDescent="0.25">
      <c r="A37" s="49"/>
      <c r="B37" s="50"/>
      <c r="C37" s="50"/>
      <c r="D37" s="50"/>
      <c r="E37" s="49"/>
      <c r="F37" s="49"/>
      <c r="G37" s="49"/>
      <c r="H37" s="49"/>
      <c r="I37" s="49"/>
      <c r="J37" s="49"/>
      <c r="K37" s="49"/>
      <c r="L37" s="49"/>
    </row>
    <row r="38" spans="1:12" ht="16.5" customHeight="1" x14ac:dyDescent="0.25">
      <c r="A38" s="1592" t="s">
        <v>22</v>
      </c>
      <c r="B38" s="1592"/>
      <c r="C38" s="1592"/>
      <c r="D38" s="50"/>
      <c r="E38" s="50"/>
      <c r="F38" s="50"/>
      <c r="G38" s="50"/>
      <c r="H38" s="50"/>
      <c r="I38" s="50"/>
      <c r="J38" s="50"/>
      <c r="K38" s="50"/>
      <c r="L38" s="50"/>
    </row>
    <row r="39" spans="1:12" ht="15" customHeight="1" x14ac:dyDescent="0.25">
      <c r="A39" s="50"/>
      <c r="B39" s="50"/>
      <c r="C39" s="50"/>
      <c r="D39" s="50"/>
      <c r="E39" s="50"/>
      <c r="F39" s="50"/>
      <c r="G39" s="50"/>
      <c r="H39" s="50"/>
      <c r="I39" s="50"/>
      <c r="J39" s="50"/>
      <c r="K39" s="50"/>
      <c r="L39" s="50"/>
    </row>
    <row r="40" spans="1:12" ht="18" customHeight="1" x14ac:dyDescent="0.25">
      <c r="A40" s="50"/>
      <c r="B40" s="171" t="s">
        <v>53</v>
      </c>
      <c r="C40" s="1328">
        <f>IF(D31&gt;=0.4,1,0)</f>
        <v>0</v>
      </c>
      <c r="D40" s="50"/>
      <c r="E40" s="50"/>
      <c r="F40" s="50"/>
      <c r="G40" s="50"/>
      <c r="H40" s="50"/>
      <c r="I40" s="50"/>
      <c r="J40" s="50"/>
      <c r="K40" s="50"/>
      <c r="L40" s="50"/>
    </row>
    <row r="41" spans="1:12" ht="18" customHeight="1" x14ac:dyDescent="0.25">
      <c r="A41" s="50"/>
      <c r="B41" s="171" t="s">
        <v>492</v>
      </c>
      <c r="C41" s="1328" t="str">
        <f>IF(AND(COUNTIF(G36:G36,"Submitted")=1,C40&gt;0),"Yes","No")</f>
        <v>No</v>
      </c>
      <c r="D41" s="50"/>
      <c r="E41" s="50"/>
      <c r="F41" s="50"/>
      <c r="G41" s="50"/>
      <c r="H41" s="50"/>
      <c r="I41" s="50"/>
      <c r="J41" s="50"/>
      <c r="K41" s="50"/>
      <c r="L41" s="50"/>
    </row>
    <row r="42" spans="1:12" ht="12" customHeight="1" x14ac:dyDescent="0.25">
      <c r="A42" s="50"/>
      <c r="B42" s="50"/>
      <c r="C42" s="50"/>
      <c r="D42" s="50"/>
      <c r="E42" s="50"/>
      <c r="F42" s="50"/>
      <c r="G42" s="50"/>
      <c r="H42" s="50"/>
      <c r="I42" s="50"/>
      <c r="J42" s="50"/>
      <c r="K42" s="50"/>
      <c r="L42" s="50"/>
    </row>
    <row r="43" spans="1:12" ht="12" customHeight="1" x14ac:dyDescent="0.25">
      <c r="A43" s="50"/>
      <c r="B43" s="50"/>
      <c r="C43" s="50"/>
      <c r="D43" s="50"/>
      <c r="E43" s="50"/>
      <c r="F43" s="50"/>
      <c r="G43" s="50"/>
      <c r="H43" s="50"/>
      <c r="I43" s="50"/>
      <c r="J43" s="50"/>
      <c r="K43" s="50"/>
      <c r="L43" s="50"/>
    </row>
    <row r="44" spans="1:12" ht="18" customHeight="1" x14ac:dyDescent="0.25">
      <c r="A44" s="1591" t="s">
        <v>582</v>
      </c>
      <c r="B44" s="1591"/>
      <c r="C44" s="1591"/>
      <c r="D44" s="1591"/>
      <c r="E44" s="1591"/>
      <c r="F44" s="1591"/>
      <c r="G44" s="1591"/>
      <c r="H44" s="1591"/>
      <c r="I44" s="1591"/>
      <c r="J44" s="1591"/>
      <c r="K44" s="1591"/>
      <c r="L44" s="1591"/>
    </row>
    <row r="45" spans="1:12" ht="12" customHeight="1" x14ac:dyDescent="0.25">
      <c r="A45" s="50"/>
      <c r="B45" s="50"/>
      <c r="C45" s="50"/>
      <c r="D45" s="50"/>
      <c r="E45" s="50"/>
      <c r="F45" s="50"/>
      <c r="G45" s="50"/>
      <c r="H45" s="50"/>
      <c r="I45" s="50"/>
      <c r="J45" s="50"/>
      <c r="K45" s="50"/>
      <c r="L45" s="50"/>
    </row>
    <row r="46" spans="1:12" ht="16.5" customHeight="1" x14ac:dyDescent="0.25">
      <c r="A46" s="1592" t="s">
        <v>245</v>
      </c>
      <c r="B46" s="1592"/>
      <c r="C46" s="1592"/>
      <c r="D46" s="50"/>
      <c r="E46" s="50"/>
      <c r="F46" s="50"/>
      <c r="G46" s="50"/>
      <c r="H46" s="50"/>
      <c r="I46" s="50"/>
      <c r="J46" s="50"/>
      <c r="K46" s="50"/>
      <c r="L46" s="50"/>
    </row>
    <row r="47" spans="1:12" ht="15" customHeight="1" x14ac:dyDescent="0.25">
      <c r="A47" s="50"/>
      <c r="B47" s="50"/>
      <c r="C47" s="50"/>
      <c r="D47" s="50"/>
      <c r="E47" s="50"/>
      <c r="F47" s="50"/>
      <c r="G47" s="50"/>
      <c r="H47" s="50"/>
      <c r="I47" s="50"/>
      <c r="J47" s="50"/>
      <c r="K47" s="50"/>
      <c r="L47" s="50"/>
    </row>
    <row r="48" spans="1:12" ht="15" customHeight="1" x14ac:dyDescent="0.25">
      <c r="A48" s="50"/>
      <c r="B48" s="581" t="s">
        <v>1253</v>
      </c>
      <c r="C48" s="50"/>
      <c r="D48" s="50"/>
      <c r="E48" s="50"/>
      <c r="F48" s="50"/>
      <c r="G48" s="50"/>
      <c r="H48" s="50"/>
      <c r="I48" s="50"/>
      <c r="J48" s="50"/>
      <c r="K48" s="50"/>
      <c r="L48" s="50"/>
    </row>
    <row r="49" spans="1:12" ht="18.75" customHeight="1" x14ac:dyDescent="0.25">
      <c r="A49" s="50"/>
      <c r="B49" s="50"/>
      <c r="C49" s="50"/>
      <c r="D49" s="50"/>
      <c r="E49" s="50"/>
      <c r="F49" s="50"/>
      <c r="G49" s="50"/>
      <c r="H49" s="50"/>
      <c r="I49" s="50"/>
      <c r="J49" s="50"/>
      <c r="K49" s="50"/>
      <c r="L49" s="50"/>
    </row>
    <row r="50" spans="1:12" ht="15" customHeight="1" x14ac:dyDescent="0.25">
      <c r="A50" s="50"/>
      <c r="B50" s="1597" t="s">
        <v>1249</v>
      </c>
      <c r="C50" s="1844"/>
      <c r="D50" s="1844"/>
      <c r="E50" s="1844"/>
      <c r="F50" s="1844"/>
      <c r="G50" s="50"/>
      <c r="H50" s="50"/>
      <c r="I50" s="50"/>
      <c r="J50" s="50"/>
      <c r="K50" s="50"/>
      <c r="L50" s="50"/>
    </row>
    <row r="51" spans="1:12" ht="9" customHeight="1" x14ac:dyDescent="0.25">
      <c r="A51" s="50"/>
      <c r="B51" s="647"/>
      <c r="C51" s="647"/>
      <c r="D51" s="647"/>
      <c r="E51" s="647"/>
      <c r="F51" s="647"/>
      <c r="G51" s="50"/>
      <c r="H51" s="50"/>
      <c r="I51" s="50"/>
      <c r="J51" s="50"/>
      <c r="K51" s="50"/>
      <c r="L51" s="50"/>
    </row>
    <row r="52" spans="1:12" ht="18" customHeight="1" x14ac:dyDescent="0.25">
      <c r="A52" s="50"/>
      <c r="B52" s="1849" t="s">
        <v>1250</v>
      </c>
      <c r="C52" s="1849"/>
      <c r="D52" s="1849"/>
      <c r="E52" s="1849"/>
      <c r="F52" s="192" t="s">
        <v>124</v>
      </c>
      <c r="G52" s="50"/>
      <c r="H52" s="50"/>
      <c r="I52" s="50"/>
      <c r="J52" s="50"/>
      <c r="K52" s="50"/>
      <c r="L52" s="50"/>
    </row>
    <row r="53" spans="1:12" ht="18" customHeight="1" x14ac:dyDescent="0.25">
      <c r="A53" s="50"/>
      <c r="B53" s="1849" t="s">
        <v>1251</v>
      </c>
      <c r="C53" s="1849"/>
      <c r="D53" s="1849"/>
      <c r="E53" s="1849"/>
      <c r="F53" s="192" t="s">
        <v>124</v>
      </c>
      <c r="G53" s="192" t="s">
        <v>124</v>
      </c>
      <c r="H53" s="192" t="s">
        <v>124</v>
      </c>
      <c r="I53" s="50"/>
      <c r="J53" s="50"/>
      <c r="K53" s="50"/>
      <c r="L53" s="50"/>
    </row>
    <row r="54" spans="1:12" ht="18" customHeight="1" x14ac:dyDescent="0.25">
      <c r="A54" s="50"/>
      <c r="B54" s="1849" t="s">
        <v>1252</v>
      </c>
      <c r="C54" s="1849"/>
      <c r="D54" s="1849"/>
      <c r="E54" s="1849"/>
      <c r="F54" s="281"/>
      <c r="G54" s="281"/>
      <c r="H54" s="281"/>
      <c r="I54" s="50"/>
      <c r="J54" s="50"/>
      <c r="K54" s="50"/>
      <c r="L54" s="50"/>
    </row>
    <row r="55" spans="1:12" ht="17.25" customHeight="1" x14ac:dyDescent="0.25">
      <c r="A55" s="50"/>
      <c r="B55" s="50"/>
      <c r="C55" s="50"/>
      <c r="D55" s="50"/>
      <c r="E55" s="50"/>
      <c r="F55" s="50"/>
      <c r="G55" s="50"/>
      <c r="H55" s="50"/>
      <c r="I55" s="50"/>
      <c r="J55" s="50"/>
      <c r="K55" s="50"/>
      <c r="L55" s="50"/>
    </row>
    <row r="56" spans="1:12" ht="18" customHeight="1" x14ac:dyDescent="0.25">
      <c r="A56" s="50"/>
      <c r="B56" s="1623" t="s">
        <v>583</v>
      </c>
      <c r="C56" s="1623"/>
      <c r="D56" s="282" t="str">
        <f>IF(F52="Yes",SUM(F54:H54),"")</f>
        <v/>
      </c>
      <c r="E56" s="50"/>
      <c r="F56" s="50"/>
      <c r="G56" s="50"/>
      <c r="H56" s="50"/>
      <c r="I56" s="50"/>
      <c r="J56" s="50"/>
      <c r="K56" s="50"/>
      <c r="L56" s="50"/>
    </row>
    <row r="57" spans="1:12" ht="18" customHeight="1" x14ac:dyDescent="0.25">
      <c r="A57" s="50"/>
      <c r="B57" s="50"/>
      <c r="C57" s="50"/>
      <c r="D57" s="50"/>
      <c r="E57" s="50"/>
      <c r="F57" s="50"/>
      <c r="G57" s="50"/>
      <c r="H57" s="50"/>
      <c r="I57" s="50"/>
      <c r="J57" s="50"/>
      <c r="K57" s="50"/>
      <c r="L57" s="50"/>
    </row>
    <row r="58" spans="1:12" ht="16.5" customHeight="1" x14ac:dyDescent="0.25">
      <c r="A58" s="1592" t="s">
        <v>186</v>
      </c>
      <c r="B58" s="1592"/>
      <c r="C58" s="1592"/>
      <c r="D58" s="50"/>
      <c r="E58" s="50"/>
      <c r="F58" s="50"/>
      <c r="G58" s="50"/>
      <c r="H58" s="50"/>
      <c r="I58" s="50"/>
      <c r="J58" s="50"/>
      <c r="K58" s="50"/>
      <c r="L58" s="50"/>
    </row>
    <row r="59" spans="1:12" x14ac:dyDescent="0.25">
      <c r="A59" s="49"/>
      <c r="B59" s="50"/>
      <c r="C59" s="50"/>
      <c r="D59" s="50"/>
      <c r="E59" s="49"/>
      <c r="F59" s="49"/>
      <c r="G59" s="49"/>
      <c r="H59" s="49"/>
      <c r="I59" s="49"/>
      <c r="J59" s="49"/>
      <c r="K59" s="49"/>
      <c r="L59" s="49"/>
    </row>
    <row r="60" spans="1:12" ht="18" customHeight="1" x14ac:dyDescent="0.25">
      <c r="A60" s="49"/>
      <c r="B60" s="1582" t="s">
        <v>1739</v>
      </c>
      <c r="C60" s="1583"/>
      <c r="D60" s="1583"/>
      <c r="E60" s="1583"/>
      <c r="F60" s="1583"/>
      <c r="G60" s="934" t="s">
        <v>1737</v>
      </c>
      <c r="H60" s="1589" t="s">
        <v>1738</v>
      </c>
      <c r="I60" s="1590"/>
      <c r="J60" s="49"/>
      <c r="K60" s="49"/>
      <c r="L60" s="49"/>
    </row>
    <row r="61" spans="1:12" ht="24" customHeight="1" x14ac:dyDescent="0.25">
      <c r="A61" s="49"/>
      <c r="B61" s="1576" t="s">
        <v>1254</v>
      </c>
      <c r="C61" s="1577"/>
      <c r="D61" s="1577"/>
      <c r="E61" s="1577"/>
      <c r="F61" s="1578"/>
      <c r="G61" s="471" t="s">
        <v>124</v>
      </c>
      <c r="H61" s="1587"/>
      <c r="I61" s="1588"/>
      <c r="J61" s="49"/>
      <c r="K61" s="49"/>
      <c r="L61" s="49"/>
    </row>
    <row r="62" spans="1:12" ht="27" customHeight="1" x14ac:dyDescent="0.25">
      <c r="A62" s="49"/>
      <c r="B62" s="1576" t="s">
        <v>1258</v>
      </c>
      <c r="C62" s="1577"/>
      <c r="D62" s="1577"/>
      <c r="E62" s="1577"/>
      <c r="F62" s="1578"/>
      <c r="G62" s="471" t="s">
        <v>124</v>
      </c>
      <c r="H62" s="1587"/>
      <c r="I62" s="1588"/>
      <c r="J62" s="49"/>
      <c r="K62" s="49"/>
      <c r="L62" s="49"/>
    </row>
    <row r="63" spans="1:12" ht="18" customHeight="1" x14ac:dyDescent="0.25">
      <c r="A63" s="49"/>
      <c r="B63" s="50"/>
      <c r="C63" s="50"/>
      <c r="D63" s="50"/>
      <c r="E63" s="49"/>
      <c r="F63" s="49"/>
      <c r="G63" s="49"/>
      <c r="H63" s="49"/>
      <c r="I63" s="49"/>
      <c r="J63" s="49"/>
      <c r="K63" s="49"/>
      <c r="L63" s="49"/>
    </row>
    <row r="64" spans="1:12" ht="16.5" customHeight="1" x14ac:dyDescent="0.25">
      <c r="A64" s="1592" t="s">
        <v>22</v>
      </c>
      <c r="B64" s="1592"/>
      <c r="C64" s="1592"/>
      <c r="D64" s="50"/>
      <c r="E64" s="50"/>
      <c r="F64" s="50"/>
      <c r="G64" s="50"/>
      <c r="H64" s="50"/>
      <c r="I64" s="50"/>
      <c r="J64" s="50"/>
      <c r="K64" s="50"/>
      <c r="L64" s="50"/>
    </row>
    <row r="65" spans="1:12" ht="15" customHeight="1" x14ac:dyDescent="0.25">
      <c r="A65" s="50"/>
      <c r="B65" s="50"/>
      <c r="C65" s="50"/>
      <c r="D65" s="50"/>
      <c r="E65" s="50"/>
      <c r="F65" s="50"/>
      <c r="G65" s="50"/>
      <c r="H65" s="50"/>
      <c r="I65" s="50"/>
      <c r="J65" s="50"/>
      <c r="K65" s="50"/>
      <c r="L65" s="50"/>
    </row>
    <row r="66" spans="1:12" ht="18" customHeight="1" x14ac:dyDescent="0.25">
      <c r="A66" s="50"/>
      <c r="B66" s="171" t="s">
        <v>53</v>
      </c>
      <c r="C66" s="1328">
        <f>IF(D56="",0,IF(D56&gt;=3,3,IF(D56&gt;=2,2,IF(D56&gt;=1,1,0))))</f>
        <v>0</v>
      </c>
      <c r="D66" s="50"/>
      <c r="E66" s="50"/>
      <c r="F66" s="50"/>
      <c r="G66" s="50"/>
      <c r="H66" s="50"/>
      <c r="I66" s="50"/>
      <c r="J66" s="50"/>
      <c r="K66" s="50"/>
      <c r="L66" s="50"/>
    </row>
    <row r="67" spans="1:12" ht="18" customHeight="1" x14ac:dyDescent="0.25">
      <c r="A67" s="50"/>
      <c r="B67" s="171" t="s">
        <v>492</v>
      </c>
      <c r="C67" s="1328" t="str">
        <f>IF(AND(COUNTIF(G61:G62,"Submitted")=2,C66&gt;0),"Yes","No")</f>
        <v>No</v>
      </c>
      <c r="D67" s="50"/>
      <c r="E67" s="50"/>
      <c r="F67" s="50"/>
      <c r="G67" s="50"/>
      <c r="H67" s="50"/>
      <c r="I67" s="50"/>
      <c r="J67" s="50"/>
      <c r="K67" s="50"/>
      <c r="L67" s="50"/>
    </row>
    <row r="68" spans="1:12" ht="20.25" customHeight="1" x14ac:dyDescent="0.25">
      <c r="A68" s="50"/>
      <c r="B68" s="50"/>
      <c r="C68" s="50"/>
      <c r="D68" s="50"/>
      <c r="E68" s="50"/>
      <c r="F68" s="50"/>
      <c r="G68" s="50"/>
      <c r="H68" s="50"/>
      <c r="I68" s="50"/>
      <c r="J68" s="50"/>
      <c r="K68" s="50"/>
      <c r="L68" s="50"/>
    </row>
    <row r="69" spans="1:12" ht="18" customHeight="1" x14ac:dyDescent="0.25">
      <c r="A69" s="1591" t="s">
        <v>2287</v>
      </c>
      <c r="B69" s="1591"/>
      <c r="C69" s="1591"/>
      <c r="D69" s="1591"/>
      <c r="E69" s="1591"/>
      <c r="F69" s="1591"/>
      <c r="G69" s="1591"/>
      <c r="H69" s="1591"/>
      <c r="I69" s="1591"/>
      <c r="J69" s="1591"/>
      <c r="K69" s="1591"/>
      <c r="L69" s="1591"/>
    </row>
    <row r="70" spans="1:12" ht="12" customHeight="1" x14ac:dyDescent="0.25">
      <c r="A70" s="50"/>
      <c r="B70" s="50"/>
      <c r="C70" s="50"/>
      <c r="D70" s="50"/>
      <c r="E70" s="50"/>
      <c r="F70" s="50"/>
      <c r="G70" s="50"/>
      <c r="H70" s="50"/>
      <c r="I70" s="50"/>
      <c r="J70" s="50"/>
      <c r="K70" s="50"/>
      <c r="L70" s="50"/>
    </row>
    <row r="71" spans="1:12" ht="16.5" customHeight="1" x14ac:dyDescent="0.25">
      <c r="A71" s="1592" t="s">
        <v>245</v>
      </c>
      <c r="B71" s="1592"/>
      <c r="C71" s="1592"/>
      <c r="D71" s="50"/>
      <c r="E71" s="50"/>
      <c r="F71" s="50"/>
      <c r="G71" s="50"/>
      <c r="H71" s="50"/>
      <c r="I71" s="50"/>
      <c r="J71" s="50"/>
      <c r="K71" s="50"/>
      <c r="L71" s="50"/>
    </row>
    <row r="72" spans="1:12" ht="15" customHeight="1" x14ac:dyDescent="0.25">
      <c r="A72" s="50"/>
      <c r="B72" s="50"/>
      <c r="C72" s="50"/>
      <c r="D72" s="50"/>
      <c r="E72" s="50"/>
      <c r="F72" s="50"/>
      <c r="G72" s="50"/>
      <c r="H72" s="50"/>
      <c r="I72" s="50"/>
      <c r="J72" s="50"/>
      <c r="K72" s="50"/>
      <c r="L72" s="50"/>
    </row>
    <row r="73" spans="1:12" ht="15" customHeight="1" x14ac:dyDescent="0.25">
      <c r="A73" s="50"/>
      <c r="B73" s="1864" t="s">
        <v>1824</v>
      </c>
      <c r="C73" s="1865"/>
      <c r="D73" s="1865"/>
      <c r="E73" s="1865"/>
      <c r="F73" s="1865"/>
      <c r="G73" s="1865"/>
      <c r="H73" s="1866"/>
      <c r="I73" s="50"/>
      <c r="J73" s="50"/>
      <c r="K73" s="50"/>
      <c r="L73" s="50"/>
    </row>
    <row r="74" spans="1:12" ht="15" customHeight="1" x14ac:dyDescent="0.25">
      <c r="A74" s="50"/>
      <c r="B74" s="1860" t="s">
        <v>2562</v>
      </c>
      <c r="C74" s="1861"/>
      <c r="D74" s="1861"/>
      <c r="E74" s="1861"/>
      <c r="F74" s="1861"/>
      <c r="G74" s="1861"/>
      <c r="H74" s="1862"/>
      <c r="I74" s="50"/>
      <c r="J74" s="50"/>
      <c r="K74" s="50"/>
      <c r="L74" s="50"/>
    </row>
    <row r="75" spans="1:12" ht="15" customHeight="1" x14ac:dyDescent="0.25">
      <c r="A75" s="50"/>
      <c r="B75" s="1860" t="s">
        <v>1856</v>
      </c>
      <c r="C75" s="1861"/>
      <c r="D75" s="1861"/>
      <c r="E75" s="1861"/>
      <c r="F75" s="1861"/>
      <c r="G75" s="1861"/>
      <c r="H75" s="1862"/>
      <c r="I75" s="50"/>
      <c r="J75" s="50"/>
      <c r="K75" s="50"/>
      <c r="L75" s="50"/>
    </row>
    <row r="76" spans="1:12" ht="15" customHeight="1" x14ac:dyDescent="0.25">
      <c r="A76" s="50"/>
      <c r="B76" s="1860" t="s">
        <v>1823</v>
      </c>
      <c r="C76" s="1861"/>
      <c r="D76" s="1861"/>
      <c r="E76" s="1861"/>
      <c r="F76" s="1861"/>
      <c r="G76" s="1861"/>
      <c r="H76" s="1862"/>
      <c r="I76" s="50"/>
      <c r="J76" s="50"/>
      <c r="K76" s="50"/>
      <c r="L76" s="50"/>
    </row>
    <row r="77" spans="1:12" ht="15" customHeight="1" x14ac:dyDescent="0.25">
      <c r="A77" s="50"/>
      <c r="B77" s="1860" t="s">
        <v>1366</v>
      </c>
      <c r="C77" s="1861"/>
      <c r="D77" s="1861"/>
      <c r="E77" s="1861"/>
      <c r="F77" s="1861"/>
      <c r="G77" s="1861"/>
      <c r="H77" s="1862"/>
      <c r="I77" s="50"/>
      <c r="J77" s="50"/>
      <c r="K77" s="50"/>
      <c r="L77" s="50"/>
    </row>
    <row r="78" spans="1:12" ht="15" customHeight="1" x14ac:dyDescent="0.25">
      <c r="A78" s="50"/>
      <c r="B78" s="1860" t="s">
        <v>1367</v>
      </c>
      <c r="C78" s="1861"/>
      <c r="D78" s="1861"/>
      <c r="E78" s="1861"/>
      <c r="F78" s="1861"/>
      <c r="G78" s="1861"/>
      <c r="H78" s="1862"/>
      <c r="I78" s="50"/>
      <c r="J78" s="50"/>
      <c r="K78" s="50"/>
      <c r="L78" s="50"/>
    </row>
    <row r="79" spans="1:12" ht="15" customHeight="1" x14ac:dyDescent="0.25">
      <c r="A79" s="50"/>
      <c r="B79" s="1845" t="s">
        <v>1373</v>
      </c>
      <c r="C79" s="1846"/>
      <c r="D79" s="1846"/>
      <c r="E79" s="1846"/>
      <c r="F79" s="1846"/>
      <c r="G79" s="1846"/>
      <c r="H79" s="1847"/>
      <c r="I79" s="50"/>
      <c r="J79" s="50"/>
      <c r="K79" s="50"/>
      <c r="L79" s="50"/>
    </row>
    <row r="80" spans="1:12" ht="17.25" customHeight="1" x14ac:dyDescent="0.25">
      <c r="A80" s="50"/>
      <c r="B80" s="50"/>
      <c r="C80" s="50"/>
      <c r="D80" s="50"/>
      <c r="E80" s="50"/>
      <c r="F80" s="50"/>
      <c r="G80" s="50"/>
      <c r="H80" s="50"/>
      <c r="I80" s="50"/>
      <c r="J80" s="50"/>
      <c r="K80" s="50"/>
      <c r="L80" s="50"/>
    </row>
    <row r="81" spans="1:12" x14ac:dyDescent="0.25">
      <c r="A81" s="50"/>
      <c r="B81" s="1597" t="s">
        <v>1246</v>
      </c>
      <c r="C81" s="1844"/>
      <c r="D81" s="1844"/>
      <c r="E81" s="1844"/>
      <c r="F81" s="1844"/>
      <c r="G81" s="50"/>
      <c r="H81" s="50"/>
      <c r="I81" s="50"/>
      <c r="J81" s="50"/>
      <c r="K81" s="50"/>
      <c r="L81" s="50"/>
    </row>
    <row r="82" spans="1:12" ht="9" customHeight="1" x14ac:dyDescent="0.25">
      <c r="A82" s="50"/>
      <c r="B82" s="50"/>
      <c r="C82" s="50"/>
      <c r="D82" s="50"/>
      <c r="E82" s="50"/>
      <c r="F82" s="50"/>
      <c r="G82" s="50"/>
      <c r="H82" s="50"/>
      <c r="I82" s="50"/>
      <c r="J82" s="50"/>
      <c r="K82" s="50"/>
      <c r="L82" s="50"/>
    </row>
    <row r="83" spans="1:12" ht="18" customHeight="1" x14ac:dyDescent="0.25">
      <c r="A83" s="50"/>
      <c r="B83" s="764" t="s">
        <v>584</v>
      </c>
      <c r="C83" s="1589" t="s">
        <v>1368</v>
      </c>
      <c r="D83" s="1589"/>
      <c r="E83" s="1589" t="s">
        <v>30</v>
      </c>
      <c r="F83" s="1589"/>
      <c r="G83" s="1590"/>
      <c r="H83" s="50"/>
      <c r="I83" s="50"/>
      <c r="J83" s="50"/>
      <c r="K83" s="50"/>
      <c r="L83" s="50"/>
    </row>
    <row r="84" spans="1:12" ht="16.5" customHeight="1" x14ac:dyDescent="0.25">
      <c r="A84" s="50"/>
      <c r="B84" s="763" t="s">
        <v>124</v>
      </c>
      <c r="C84" s="1848"/>
      <c r="D84" s="1848"/>
      <c r="E84" s="1848"/>
      <c r="F84" s="1848"/>
      <c r="G84" s="1848"/>
      <c r="H84" s="50"/>
      <c r="I84" s="50"/>
      <c r="J84" s="50"/>
      <c r="K84" s="50"/>
      <c r="L84" s="50"/>
    </row>
    <row r="85" spans="1:12" ht="16.5" customHeight="1" x14ac:dyDescent="0.25">
      <c r="A85" s="50"/>
      <c r="B85" s="763" t="s">
        <v>124</v>
      </c>
      <c r="C85" s="1848"/>
      <c r="D85" s="1848"/>
      <c r="E85" s="1848"/>
      <c r="F85" s="1848"/>
      <c r="G85" s="1848"/>
      <c r="H85" s="50"/>
      <c r="I85" s="50"/>
      <c r="J85" s="50"/>
      <c r="K85" s="50"/>
      <c r="L85" s="50"/>
    </row>
    <row r="86" spans="1:12" ht="16.5" customHeight="1" x14ac:dyDescent="0.25">
      <c r="A86" s="50"/>
      <c r="B86" s="763" t="s">
        <v>124</v>
      </c>
      <c r="C86" s="1848"/>
      <c r="D86" s="1848"/>
      <c r="E86" s="1848"/>
      <c r="F86" s="1848"/>
      <c r="G86" s="1848"/>
      <c r="H86" s="50"/>
      <c r="I86" s="50"/>
      <c r="J86" s="50"/>
      <c r="K86" s="50"/>
      <c r="L86" s="50"/>
    </row>
    <row r="87" spans="1:12" ht="15" customHeight="1" x14ac:dyDescent="0.25">
      <c r="A87" s="50"/>
      <c r="B87" s="50"/>
      <c r="C87" s="50"/>
      <c r="D87" s="50"/>
      <c r="E87" s="50"/>
      <c r="F87" s="50"/>
      <c r="G87" s="50"/>
      <c r="H87" s="50"/>
      <c r="I87" s="50"/>
      <c r="J87" s="50"/>
      <c r="K87" s="50"/>
      <c r="L87" s="50"/>
    </row>
    <row r="88" spans="1:12" ht="18" customHeight="1" x14ac:dyDescent="0.25">
      <c r="A88" s="50"/>
      <c r="B88" s="1623" t="s">
        <v>585</v>
      </c>
      <c r="C88" s="1623"/>
      <c r="D88" s="285" t="str">
        <f>IF(AND(B84&lt;&gt;"",C84&lt;&gt;"",B85&lt;&gt;"",C85&lt;&gt;""),"Yes","No")</f>
        <v>No</v>
      </c>
      <c r="E88" s="50"/>
      <c r="F88" s="50"/>
      <c r="G88" s="50"/>
      <c r="H88" s="50"/>
      <c r="I88" s="50"/>
      <c r="J88" s="50"/>
      <c r="K88" s="50"/>
      <c r="L88" s="50"/>
    </row>
    <row r="89" spans="1:12" ht="21" customHeight="1" x14ac:dyDescent="0.25">
      <c r="A89" s="50"/>
      <c r="B89" s="50"/>
      <c r="C89" s="50"/>
      <c r="D89" s="50"/>
      <c r="E89" s="50"/>
      <c r="F89" s="50"/>
      <c r="G89" s="50"/>
      <c r="H89" s="50"/>
      <c r="I89" s="50"/>
      <c r="J89" s="50"/>
      <c r="K89" s="50"/>
      <c r="L89" s="50"/>
    </row>
    <row r="90" spans="1:12" ht="16.5" customHeight="1" x14ac:dyDescent="0.25">
      <c r="A90" s="1592" t="s">
        <v>186</v>
      </c>
      <c r="B90" s="1592"/>
      <c r="C90" s="1592"/>
      <c r="D90" s="50"/>
      <c r="E90" s="50"/>
      <c r="F90" s="50"/>
      <c r="G90" s="50"/>
      <c r="H90" s="50"/>
      <c r="I90" s="50"/>
      <c r="J90" s="50"/>
      <c r="K90" s="50"/>
      <c r="L90" s="50"/>
    </row>
    <row r="91" spans="1:12" x14ac:dyDescent="0.25">
      <c r="A91" s="49"/>
      <c r="B91" s="50"/>
      <c r="C91" s="50"/>
      <c r="D91" s="50"/>
      <c r="E91" s="50"/>
      <c r="F91" s="50"/>
      <c r="G91" s="50"/>
      <c r="H91" s="50"/>
      <c r="I91" s="50"/>
      <c r="J91" s="50"/>
      <c r="K91" s="50"/>
      <c r="L91" s="50"/>
    </row>
    <row r="92" spans="1:12" ht="18" customHeight="1" x14ac:dyDescent="0.25">
      <c r="A92" s="49"/>
      <c r="B92" s="1582" t="s">
        <v>1739</v>
      </c>
      <c r="C92" s="1583"/>
      <c r="D92" s="1583"/>
      <c r="E92" s="1583"/>
      <c r="F92" s="1583"/>
      <c r="G92" s="934" t="s">
        <v>1737</v>
      </c>
      <c r="H92" s="1589" t="s">
        <v>1738</v>
      </c>
      <c r="I92" s="1590"/>
      <c r="J92" s="49"/>
      <c r="K92" s="49"/>
      <c r="L92" s="49"/>
    </row>
    <row r="93" spans="1:12" ht="24" customHeight="1" x14ac:dyDescent="0.25">
      <c r="A93" s="49"/>
      <c r="B93" s="1576" t="s">
        <v>1247</v>
      </c>
      <c r="C93" s="1577"/>
      <c r="D93" s="1577"/>
      <c r="E93" s="1577"/>
      <c r="F93" s="1578"/>
      <c r="G93" s="471" t="s">
        <v>124</v>
      </c>
      <c r="H93" s="1587"/>
      <c r="I93" s="1588"/>
      <c r="J93" s="49"/>
      <c r="K93" s="49"/>
      <c r="L93" s="49"/>
    </row>
    <row r="94" spans="1:12" ht="19.5" customHeight="1" x14ac:dyDescent="0.25">
      <c r="A94" s="49"/>
      <c r="B94" s="50"/>
      <c r="C94" s="50"/>
      <c r="D94" s="50"/>
      <c r="E94" s="49"/>
      <c r="F94" s="49"/>
      <c r="G94" s="49"/>
      <c r="H94" s="49"/>
      <c r="I94" s="49"/>
      <c r="J94" s="49"/>
      <c r="K94" s="49"/>
      <c r="L94" s="49"/>
    </row>
    <row r="95" spans="1:12" ht="16.5" customHeight="1" x14ac:dyDescent="0.25">
      <c r="A95" s="1592" t="s">
        <v>22</v>
      </c>
      <c r="B95" s="1592"/>
      <c r="C95" s="1592"/>
      <c r="D95" s="50"/>
      <c r="E95" s="50"/>
      <c r="F95" s="50"/>
      <c r="G95" s="50"/>
      <c r="H95" s="50"/>
      <c r="I95" s="50"/>
      <c r="J95" s="50"/>
      <c r="K95" s="50"/>
      <c r="L95" s="50"/>
    </row>
    <row r="96" spans="1:12" ht="15" customHeight="1" x14ac:dyDescent="0.25">
      <c r="A96" s="50"/>
      <c r="B96" s="50"/>
      <c r="C96" s="50"/>
      <c r="D96" s="50"/>
      <c r="E96" s="50"/>
      <c r="F96" s="50"/>
      <c r="G96" s="50"/>
      <c r="H96" s="50"/>
      <c r="I96" s="50"/>
      <c r="J96" s="50"/>
      <c r="K96" s="50"/>
      <c r="L96" s="50"/>
    </row>
    <row r="97" spans="1:12" ht="18" customHeight="1" x14ac:dyDescent="0.25">
      <c r="A97" s="50"/>
      <c r="B97" s="171" t="s">
        <v>53</v>
      </c>
      <c r="C97" s="1328">
        <f>IF(D88="Yes",1,0)</f>
        <v>0</v>
      </c>
      <c r="D97" s="50"/>
      <c r="E97" s="50"/>
      <c r="F97" s="50"/>
      <c r="G97" s="50"/>
      <c r="H97" s="50"/>
      <c r="I97" s="50"/>
      <c r="J97" s="50"/>
      <c r="K97" s="50"/>
      <c r="L97" s="50"/>
    </row>
    <row r="98" spans="1:12" ht="18" customHeight="1" x14ac:dyDescent="0.25">
      <c r="A98" s="50"/>
      <c r="B98" s="171" t="s">
        <v>492</v>
      </c>
      <c r="C98" s="1328" t="str">
        <f>IF(AND(COUNTIF(G93:G93,"Submitted")=1,C97&gt;0),"Yes","No")</f>
        <v>No</v>
      </c>
      <c r="D98" s="50"/>
      <c r="E98" s="50"/>
      <c r="F98" s="50"/>
      <c r="G98" s="50"/>
      <c r="H98" s="50"/>
      <c r="I98" s="50"/>
      <c r="J98" s="50"/>
      <c r="K98" s="50"/>
      <c r="L98" s="50"/>
    </row>
    <row r="99" spans="1:12" ht="21" customHeight="1" x14ac:dyDescent="0.25">
      <c r="A99" s="50"/>
      <c r="B99" s="50"/>
      <c r="C99" s="50"/>
      <c r="D99" s="50"/>
      <c r="E99" s="50"/>
      <c r="F99" s="49"/>
      <c r="G99" s="49"/>
      <c r="H99" s="49"/>
      <c r="I99" s="49"/>
      <c r="J99" s="49"/>
      <c r="K99" s="49"/>
      <c r="L99" s="49"/>
    </row>
    <row r="100" spans="1:12" ht="18" customHeight="1" x14ac:dyDescent="0.25">
      <c r="A100" s="1591" t="s">
        <v>1775</v>
      </c>
      <c r="B100" s="1591"/>
      <c r="C100" s="1591"/>
      <c r="D100" s="1591"/>
      <c r="E100" s="1591"/>
      <c r="F100" s="1591"/>
      <c r="G100" s="1591"/>
      <c r="H100" s="1591"/>
      <c r="I100" s="1591"/>
      <c r="J100" s="1591"/>
      <c r="K100" s="1591"/>
      <c r="L100" s="1591"/>
    </row>
    <row r="101" spans="1:12" ht="15" customHeight="1" x14ac:dyDescent="0.25">
      <c r="A101" s="50"/>
      <c r="B101" s="50"/>
      <c r="C101" s="50"/>
      <c r="D101" s="50"/>
      <c r="E101" s="50"/>
      <c r="F101" s="50"/>
      <c r="G101" s="50"/>
      <c r="H101" s="50"/>
      <c r="I101" s="50"/>
      <c r="J101" s="50"/>
      <c r="K101" s="50"/>
      <c r="L101" s="50"/>
    </row>
    <row r="102" spans="1:12" ht="16.5" customHeight="1" x14ac:dyDescent="0.25">
      <c r="A102" s="1592" t="s">
        <v>245</v>
      </c>
      <c r="B102" s="1592"/>
      <c r="C102" s="1592"/>
      <c r="D102" s="50"/>
      <c r="E102" s="50"/>
      <c r="F102" s="50"/>
      <c r="G102" s="50"/>
      <c r="H102" s="50"/>
      <c r="I102" s="50"/>
      <c r="J102" s="50"/>
      <c r="K102" s="50"/>
      <c r="L102" s="50"/>
    </row>
    <row r="103" spans="1:12" ht="15" customHeight="1" x14ac:dyDescent="0.25">
      <c r="A103" s="50"/>
      <c r="B103" s="50"/>
      <c r="C103" s="50"/>
      <c r="D103" s="50"/>
      <c r="E103" s="50"/>
      <c r="F103" s="50"/>
      <c r="G103" s="50"/>
      <c r="H103" s="50"/>
      <c r="I103" s="50"/>
      <c r="J103" s="50"/>
      <c r="K103" s="50"/>
      <c r="L103" s="50"/>
    </row>
    <row r="104" spans="1:12" ht="15" customHeight="1" x14ac:dyDescent="0.25">
      <c r="A104" s="50"/>
      <c r="B104" s="703" t="s">
        <v>1519</v>
      </c>
      <c r="C104" s="570"/>
      <c r="D104" s="570"/>
      <c r="E104" s="570"/>
      <c r="F104" s="571"/>
      <c r="G104" s="50"/>
      <c r="H104" s="50"/>
      <c r="I104" s="50"/>
      <c r="J104" s="50"/>
      <c r="K104" s="50"/>
      <c r="L104" s="50"/>
    </row>
    <row r="105" spans="1:12" ht="15" customHeight="1" x14ac:dyDescent="0.25">
      <c r="A105" s="50"/>
      <c r="B105" s="1014" t="s">
        <v>1745</v>
      </c>
      <c r="C105" s="567"/>
      <c r="D105" s="567"/>
      <c r="E105" s="567"/>
      <c r="F105" s="573"/>
      <c r="G105" s="50"/>
      <c r="H105" s="50"/>
      <c r="I105" s="50"/>
      <c r="J105" s="50"/>
      <c r="K105" s="50"/>
      <c r="L105" s="50"/>
    </row>
    <row r="106" spans="1:12" ht="15" customHeight="1" x14ac:dyDescent="0.25">
      <c r="A106" s="50"/>
      <c r="B106" s="957" t="s">
        <v>1776</v>
      </c>
      <c r="C106" s="575"/>
      <c r="D106" s="575"/>
      <c r="E106" s="575"/>
      <c r="F106" s="576"/>
      <c r="G106" s="50"/>
      <c r="H106" s="50"/>
      <c r="I106" s="50"/>
      <c r="J106" s="50"/>
      <c r="K106" s="50"/>
      <c r="L106" s="50"/>
    </row>
    <row r="107" spans="1:12" ht="15" customHeight="1" x14ac:dyDescent="0.25">
      <c r="A107" s="50"/>
      <c r="B107" s="50"/>
      <c r="C107" s="50"/>
      <c r="D107" s="50"/>
      <c r="E107" s="50"/>
      <c r="F107" s="50"/>
      <c r="G107" s="50"/>
      <c r="H107" s="50"/>
      <c r="I107" s="50"/>
      <c r="J107" s="50"/>
      <c r="K107" s="50"/>
      <c r="L107" s="50"/>
    </row>
    <row r="108" spans="1:12" ht="15" customHeight="1" x14ac:dyDescent="0.25">
      <c r="A108" s="50"/>
      <c r="B108" s="185" t="s">
        <v>1778</v>
      </c>
      <c r="C108" s="50"/>
      <c r="D108" s="50"/>
      <c r="E108" s="50"/>
      <c r="F108" s="50"/>
      <c r="G108" s="50"/>
      <c r="H108" s="50"/>
      <c r="I108" s="50"/>
      <c r="J108" s="50"/>
      <c r="K108" s="50"/>
      <c r="L108" s="50"/>
    </row>
    <row r="109" spans="1:12" ht="9" customHeight="1" x14ac:dyDescent="0.25">
      <c r="A109" s="50"/>
      <c r="B109" s="50"/>
      <c r="C109" s="50"/>
      <c r="D109" s="50"/>
      <c r="E109" s="50"/>
      <c r="F109" s="50"/>
      <c r="G109" s="50"/>
      <c r="H109" s="50"/>
      <c r="I109" s="50"/>
      <c r="J109" s="50"/>
      <c r="K109" s="50"/>
      <c r="L109" s="50"/>
    </row>
    <row r="110" spans="1:12" ht="15" customHeight="1" x14ac:dyDescent="0.25">
      <c r="A110" s="50"/>
      <c r="B110" s="579" t="s">
        <v>1107</v>
      </c>
      <c r="C110" s="50"/>
      <c r="D110" s="50"/>
      <c r="E110" s="50"/>
      <c r="F110" s="50"/>
      <c r="G110" s="50"/>
      <c r="H110" s="50"/>
      <c r="I110" s="50"/>
      <c r="J110" s="50"/>
      <c r="K110" s="50"/>
      <c r="L110" s="50"/>
    </row>
    <row r="111" spans="1:12" ht="10.5" customHeight="1" x14ac:dyDescent="0.25">
      <c r="A111" s="50"/>
      <c r="B111" s="50"/>
      <c r="C111" s="50"/>
      <c r="D111" s="50"/>
      <c r="E111" s="50"/>
      <c r="F111" s="50"/>
      <c r="G111" s="50"/>
      <c r="H111" s="50"/>
      <c r="I111" s="50"/>
      <c r="J111" s="50"/>
      <c r="K111" s="50"/>
      <c r="L111" s="50"/>
    </row>
    <row r="112" spans="1:12" ht="18" customHeight="1" x14ac:dyDescent="0.25">
      <c r="A112" s="50"/>
      <c r="B112" s="1849" t="s">
        <v>2014</v>
      </c>
      <c r="C112" s="1849"/>
      <c r="D112" s="1849"/>
      <c r="E112" s="1849"/>
      <c r="F112" s="948" t="s">
        <v>124</v>
      </c>
      <c r="G112" s="50"/>
      <c r="H112" s="50"/>
      <c r="I112" s="50"/>
      <c r="J112" s="50"/>
      <c r="K112" s="50"/>
      <c r="L112" s="50"/>
    </row>
    <row r="113" spans="1:16" ht="18" customHeight="1" x14ac:dyDescent="0.25">
      <c r="A113" s="50"/>
      <c r="B113" s="1849" t="s">
        <v>1777</v>
      </c>
      <c r="C113" s="1849"/>
      <c r="D113" s="1849"/>
      <c r="E113" s="1849"/>
      <c r="F113" s="863"/>
      <c r="G113" s="50"/>
      <c r="H113" s="50"/>
      <c r="I113" s="50"/>
      <c r="J113" s="50"/>
      <c r="K113" s="50"/>
      <c r="L113" s="50"/>
    </row>
    <row r="114" spans="1:16" ht="18" customHeight="1" x14ac:dyDescent="0.25">
      <c r="A114" s="50"/>
      <c r="B114" s="50"/>
      <c r="C114" s="50"/>
      <c r="D114" s="50"/>
      <c r="E114" s="50"/>
      <c r="F114" s="50"/>
      <c r="G114" s="50"/>
      <c r="H114" s="50"/>
      <c r="I114" s="50"/>
      <c r="J114" s="50"/>
      <c r="K114" s="50"/>
      <c r="L114" s="50"/>
    </row>
    <row r="115" spans="1:16" ht="18" customHeight="1" x14ac:dyDescent="0.25">
      <c r="A115" s="50"/>
      <c r="B115" s="1689" t="s">
        <v>1516</v>
      </c>
      <c r="C115" s="1690"/>
      <c r="D115" s="1691"/>
      <c r="E115" s="193" t="str">
        <f>IF(AND(F113&lt;&gt;"",F112="Yes"),"Yes","No")</f>
        <v>No</v>
      </c>
      <c r="F115" s="50"/>
      <c r="G115" s="50"/>
      <c r="H115" s="50"/>
      <c r="I115" s="50"/>
      <c r="J115" s="50"/>
      <c r="K115" s="50"/>
      <c r="L115" s="50"/>
    </row>
    <row r="116" spans="1:16" ht="15.75" customHeight="1" x14ac:dyDescent="0.25">
      <c r="A116" s="50"/>
      <c r="B116" s="50"/>
      <c r="C116" s="50"/>
      <c r="D116" s="50"/>
      <c r="E116" s="50"/>
      <c r="F116" s="50"/>
      <c r="G116" s="50"/>
      <c r="H116" s="50"/>
      <c r="I116" s="50"/>
      <c r="J116" s="50"/>
      <c r="K116" s="50"/>
      <c r="L116" s="50"/>
    </row>
    <row r="117" spans="1:16" ht="18" customHeight="1" x14ac:dyDescent="0.25">
      <c r="A117" s="50"/>
      <c r="B117" s="1018" t="s">
        <v>1745</v>
      </c>
      <c r="C117" s="50"/>
      <c r="D117" s="50"/>
      <c r="E117" s="50"/>
      <c r="F117" s="50"/>
      <c r="G117" s="50"/>
      <c r="H117" s="50"/>
      <c r="I117" s="50"/>
      <c r="J117" s="50"/>
      <c r="K117" s="50"/>
      <c r="L117" s="50"/>
    </row>
    <row r="118" spans="1:16" ht="14.25" customHeight="1" x14ac:dyDescent="0.25">
      <c r="A118" s="50"/>
      <c r="B118" s="1017"/>
      <c r="C118" s="50"/>
      <c r="D118" s="50"/>
      <c r="E118" s="50"/>
      <c r="F118" s="50"/>
      <c r="G118" s="50"/>
      <c r="H118" s="50"/>
      <c r="I118" s="50"/>
      <c r="J118" s="50"/>
      <c r="K118" s="50"/>
      <c r="L118" s="50"/>
    </row>
    <row r="119" spans="1:16" ht="18" customHeight="1" x14ac:dyDescent="0.25">
      <c r="A119" s="50"/>
      <c r="B119" s="1016" t="s">
        <v>1779</v>
      </c>
      <c r="C119" s="50"/>
      <c r="D119" s="50"/>
      <c r="E119" s="50"/>
      <c r="F119" s="50"/>
      <c r="G119" s="50"/>
      <c r="H119" s="50"/>
      <c r="I119" s="50"/>
      <c r="J119" s="50"/>
      <c r="K119" s="50"/>
      <c r="L119" s="50"/>
    </row>
    <row r="120" spans="1:16" ht="9" customHeight="1" x14ac:dyDescent="0.25">
      <c r="A120" s="50"/>
      <c r="B120" s="1016"/>
      <c r="C120" s="50"/>
      <c r="D120" s="50"/>
      <c r="E120" s="50"/>
      <c r="F120" s="50"/>
      <c r="G120" s="50"/>
      <c r="H120" s="50"/>
      <c r="I120" s="50"/>
      <c r="J120" s="50"/>
      <c r="K120" s="50"/>
      <c r="L120" s="50"/>
    </row>
    <row r="121" spans="1:16" ht="15" customHeight="1" x14ac:dyDescent="0.25">
      <c r="A121" s="50"/>
      <c r="B121" s="579" t="s">
        <v>1780</v>
      </c>
      <c r="C121" s="50"/>
      <c r="D121" s="50"/>
      <c r="E121" s="50"/>
      <c r="F121" s="50"/>
      <c r="G121" s="50"/>
      <c r="H121" s="50"/>
      <c r="I121" s="50"/>
      <c r="J121" s="50"/>
      <c r="K121" s="50"/>
      <c r="L121" s="50"/>
    </row>
    <row r="122" spans="1:16" ht="12.75" customHeight="1" x14ac:dyDescent="0.25">
      <c r="A122" s="50"/>
      <c r="B122" s="50"/>
      <c r="C122" s="50"/>
      <c r="D122" s="50"/>
      <c r="E122" s="50"/>
      <c r="F122" s="50"/>
      <c r="G122" s="50"/>
      <c r="H122" s="50"/>
      <c r="I122" s="50"/>
      <c r="J122" s="50"/>
      <c r="K122" s="50"/>
      <c r="L122" s="50"/>
    </row>
    <row r="123" spans="1:16" ht="18" customHeight="1" x14ac:dyDescent="0.25">
      <c r="A123" s="50"/>
      <c r="B123" s="1850" t="s">
        <v>2015</v>
      </c>
      <c r="C123" s="1851"/>
      <c r="D123" s="1851"/>
      <c r="E123" s="1851"/>
      <c r="F123" s="1852"/>
      <c r="G123" s="948" t="s">
        <v>124</v>
      </c>
      <c r="H123" s="50"/>
      <c r="I123" s="50"/>
      <c r="J123" s="50"/>
      <c r="K123" s="50"/>
      <c r="L123" s="50"/>
    </row>
    <row r="124" spans="1:16" ht="15" customHeight="1" x14ac:dyDescent="0.25">
      <c r="A124" s="50"/>
      <c r="B124" s="50"/>
      <c r="C124" s="50"/>
      <c r="D124" s="50"/>
      <c r="E124" s="50"/>
      <c r="F124" s="50"/>
      <c r="G124" s="50"/>
      <c r="H124" s="50"/>
      <c r="I124" s="50"/>
      <c r="J124" s="50"/>
      <c r="K124" s="50"/>
      <c r="L124" s="50"/>
    </row>
    <row r="125" spans="1:16" ht="15" customHeight="1" x14ac:dyDescent="0.25">
      <c r="A125" s="50"/>
      <c r="B125" s="958" t="s">
        <v>499</v>
      </c>
      <c r="C125" s="1015"/>
      <c r="D125" s="1015"/>
      <c r="E125" s="1015"/>
      <c r="F125" s="1015"/>
      <c r="G125" s="50"/>
      <c r="H125" s="50"/>
      <c r="I125" s="50"/>
      <c r="J125" s="50"/>
      <c r="K125" s="50"/>
      <c r="L125" s="50"/>
      <c r="N125" s="1807" t="s">
        <v>354</v>
      </c>
      <c r="O125" s="1807"/>
      <c r="P125" s="1812" t="s">
        <v>360</v>
      </c>
    </row>
    <row r="126" spans="1:16" ht="15" customHeight="1" x14ac:dyDescent="0.25">
      <c r="A126" s="50"/>
      <c r="B126" s="566" t="s">
        <v>498</v>
      </c>
      <c r="C126" s="50"/>
      <c r="D126" s="50"/>
      <c r="E126" s="50"/>
      <c r="F126" s="50"/>
      <c r="G126" s="50"/>
      <c r="H126" s="50"/>
      <c r="I126" s="50"/>
      <c r="J126" s="50"/>
      <c r="K126" s="50"/>
      <c r="L126" s="50"/>
      <c r="N126" s="1807"/>
      <c r="O126" s="1807"/>
      <c r="P126" s="1813"/>
    </row>
    <row r="127" spans="1:16" ht="15" customHeight="1" x14ac:dyDescent="0.25">
      <c r="A127" s="50"/>
      <c r="B127" s="566"/>
      <c r="C127" s="50"/>
      <c r="D127" s="50"/>
      <c r="E127" s="50"/>
      <c r="F127" s="50"/>
      <c r="G127" s="50"/>
      <c r="H127" s="50"/>
      <c r="I127" s="50"/>
      <c r="J127" s="50"/>
      <c r="K127" s="50"/>
      <c r="L127" s="50"/>
      <c r="N127" s="1806" t="s">
        <v>357</v>
      </c>
      <c r="O127" s="1806"/>
      <c r="P127" s="76">
        <v>3</v>
      </c>
    </row>
    <row r="128" spans="1:16" ht="25.5" x14ac:dyDescent="0.25">
      <c r="A128" s="50"/>
      <c r="B128" s="941" t="s">
        <v>353</v>
      </c>
      <c r="C128" s="940" t="s">
        <v>354</v>
      </c>
      <c r="D128" s="942" t="s">
        <v>26</v>
      </c>
      <c r="E128" s="942" t="s">
        <v>356</v>
      </c>
      <c r="F128" s="942" t="s">
        <v>355</v>
      </c>
      <c r="G128" s="946" t="s">
        <v>172</v>
      </c>
      <c r="H128" s="50"/>
      <c r="I128" s="50"/>
      <c r="J128" s="50"/>
      <c r="K128" s="50"/>
      <c r="L128" s="50"/>
      <c r="N128" s="1806" t="s">
        <v>358</v>
      </c>
      <c r="O128" s="1806"/>
      <c r="P128" s="76">
        <v>3.5</v>
      </c>
    </row>
    <row r="129" spans="1:16" x14ac:dyDescent="0.25">
      <c r="A129" s="50"/>
      <c r="B129" s="951"/>
      <c r="C129" s="951" t="s">
        <v>124</v>
      </c>
      <c r="D129" s="951"/>
      <c r="E129" s="951"/>
      <c r="F129" s="391" t="str">
        <f>IFERROR(VLOOKUP(C129,N127:P131,3,FALSE),"")</f>
        <v/>
      </c>
      <c r="G129" s="391" t="str">
        <f>IF(F129="","",IF(E129&gt;=F129,"Yes","No"))</f>
        <v/>
      </c>
      <c r="H129" s="50"/>
      <c r="I129" s="50"/>
      <c r="J129" s="50"/>
      <c r="K129" s="50"/>
      <c r="L129" s="50"/>
      <c r="N129" s="1814" t="s">
        <v>359</v>
      </c>
      <c r="O129" s="1814"/>
      <c r="P129" s="1814"/>
    </row>
    <row r="130" spans="1:16" x14ac:dyDescent="0.25">
      <c r="A130" s="50"/>
      <c r="B130" s="945"/>
      <c r="C130" s="951" t="s">
        <v>124</v>
      </c>
      <c r="D130" s="945"/>
      <c r="E130" s="945"/>
      <c r="F130" s="297" t="str">
        <f>IFERROR(VLOOKUP(C130,N127:P131,3,FALSE),"")</f>
        <v/>
      </c>
      <c r="G130" s="297" t="str">
        <f>IF(F130="","",IF(E130&gt;=F130,"Yes","No"))</f>
        <v/>
      </c>
      <c r="H130" s="50"/>
      <c r="I130" s="50"/>
      <c r="J130" s="50"/>
      <c r="K130" s="50"/>
      <c r="L130" s="50"/>
      <c r="N130" s="1806" t="s">
        <v>361</v>
      </c>
      <c r="O130" s="1806"/>
      <c r="P130" s="76">
        <v>3</v>
      </c>
    </row>
    <row r="131" spans="1:16" ht="18" customHeight="1" x14ac:dyDescent="0.25">
      <c r="A131" s="50"/>
      <c r="B131" s="50"/>
      <c r="C131" s="50"/>
      <c r="D131" s="50"/>
      <c r="E131" s="50"/>
      <c r="F131" s="50"/>
      <c r="G131" s="50"/>
      <c r="H131" s="50"/>
      <c r="I131" s="50"/>
      <c r="J131" s="50"/>
      <c r="K131" s="50"/>
      <c r="L131" s="50"/>
      <c r="N131" s="1806" t="s">
        <v>362</v>
      </c>
      <c r="O131" s="1806"/>
      <c r="P131" s="76">
        <v>3.5</v>
      </c>
    </row>
    <row r="132" spans="1:16" ht="19.5" customHeight="1" x14ac:dyDescent="0.25">
      <c r="A132" s="50"/>
      <c r="B132" s="1689" t="s">
        <v>1564</v>
      </c>
      <c r="C132" s="1690"/>
      <c r="D132" s="1691"/>
      <c r="E132" s="193" t="str">
        <f>IF(G123="Yes",IF(OR(G129="No",G130="No"),"No",IF(OR(G129="Yes",G130="Yes"),"Yes","")),"")</f>
        <v/>
      </c>
      <c r="F132" s="50"/>
      <c r="G132" s="50"/>
      <c r="H132" s="50"/>
      <c r="I132" s="50"/>
      <c r="J132" s="50"/>
      <c r="K132" s="50"/>
      <c r="L132" s="50"/>
    </row>
    <row r="133" spans="1:16" ht="18" customHeight="1" x14ac:dyDescent="0.25">
      <c r="A133" s="50"/>
      <c r="B133" s="50"/>
      <c r="C133" s="50"/>
      <c r="D133" s="50"/>
      <c r="E133" s="50"/>
      <c r="F133" s="50"/>
      <c r="G133" s="50"/>
      <c r="H133" s="50"/>
      <c r="I133" s="50"/>
      <c r="J133" s="50"/>
      <c r="K133" s="50"/>
      <c r="L133" s="50"/>
    </row>
    <row r="134" spans="1:16" ht="16.5" customHeight="1" x14ac:dyDescent="0.25">
      <c r="A134" s="1592" t="s">
        <v>186</v>
      </c>
      <c r="B134" s="1592"/>
      <c r="C134" s="1592"/>
      <c r="D134" s="50"/>
      <c r="E134" s="50"/>
      <c r="F134" s="50"/>
      <c r="G134" s="50"/>
      <c r="H134" s="50"/>
      <c r="I134" s="50"/>
      <c r="J134" s="50"/>
      <c r="K134" s="50"/>
      <c r="L134" s="50"/>
    </row>
    <row r="135" spans="1:16" ht="15" customHeight="1" x14ac:dyDescent="0.25">
      <c r="A135" s="49"/>
      <c r="B135" s="50"/>
      <c r="C135" s="50"/>
      <c r="D135" s="50"/>
      <c r="E135" s="50"/>
      <c r="F135" s="50"/>
      <c r="G135" s="50"/>
      <c r="H135" s="50"/>
      <c r="I135" s="50"/>
      <c r="J135" s="50"/>
      <c r="K135" s="50"/>
      <c r="L135" s="50"/>
    </row>
    <row r="136" spans="1:16" ht="18" customHeight="1" x14ac:dyDescent="0.25">
      <c r="A136" s="49"/>
      <c r="B136" s="1582" t="s">
        <v>1781</v>
      </c>
      <c r="C136" s="1583"/>
      <c r="D136" s="1583"/>
      <c r="E136" s="1583"/>
      <c r="F136" s="1583"/>
      <c r="G136" s="940" t="s">
        <v>1737</v>
      </c>
      <c r="H136" s="1589" t="s">
        <v>1738</v>
      </c>
      <c r="I136" s="1590"/>
      <c r="J136" s="49"/>
      <c r="K136" s="49"/>
      <c r="L136" s="49"/>
    </row>
    <row r="137" spans="1:16" ht="24" customHeight="1" x14ac:dyDescent="0.25">
      <c r="A137" s="49"/>
      <c r="B137" s="1576" t="s">
        <v>1548</v>
      </c>
      <c r="C137" s="1577"/>
      <c r="D137" s="1577"/>
      <c r="E137" s="1577"/>
      <c r="F137" s="1578"/>
      <c r="G137" s="945" t="s">
        <v>1783</v>
      </c>
      <c r="H137" s="1587"/>
      <c r="I137" s="1588"/>
      <c r="J137" s="49"/>
      <c r="K137" s="49"/>
      <c r="L137" s="49"/>
    </row>
    <row r="138" spans="1:16" ht="18" customHeight="1" x14ac:dyDescent="0.25">
      <c r="A138" s="49"/>
      <c r="B138" s="1017" t="s">
        <v>1745</v>
      </c>
      <c r="C138" s="49"/>
      <c r="D138" s="49"/>
      <c r="E138" s="49"/>
      <c r="F138" s="49"/>
      <c r="G138" s="49"/>
      <c r="H138" s="49"/>
      <c r="I138" s="49"/>
      <c r="J138" s="49"/>
      <c r="K138" s="49"/>
      <c r="L138" s="49"/>
    </row>
    <row r="139" spans="1:16" ht="18" customHeight="1" x14ac:dyDescent="0.25">
      <c r="A139" s="49"/>
      <c r="B139" s="1582" t="s">
        <v>1782</v>
      </c>
      <c r="C139" s="1583"/>
      <c r="D139" s="1583"/>
      <c r="E139" s="1583"/>
      <c r="F139" s="1583"/>
      <c r="G139" s="940" t="s">
        <v>1737</v>
      </c>
      <c r="H139" s="1589" t="s">
        <v>1738</v>
      </c>
      <c r="I139" s="1590"/>
      <c r="J139" s="49"/>
      <c r="K139" s="49"/>
      <c r="L139" s="49"/>
    </row>
    <row r="140" spans="1:16" ht="24" customHeight="1" x14ac:dyDescent="0.25">
      <c r="A140" s="49"/>
      <c r="B140" s="1576" t="s">
        <v>1067</v>
      </c>
      <c r="C140" s="1577"/>
      <c r="D140" s="1577"/>
      <c r="E140" s="1577"/>
      <c r="F140" s="1578"/>
      <c r="G140" s="945" t="s">
        <v>124</v>
      </c>
      <c r="H140" s="1587"/>
      <c r="I140" s="1588"/>
      <c r="J140" s="49"/>
      <c r="K140" s="49"/>
      <c r="L140" s="49"/>
    </row>
    <row r="141" spans="1:16" ht="24" customHeight="1" x14ac:dyDescent="0.25">
      <c r="A141" s="49"/>
      <c r="B141" s="1576" t="s">
        <v>1549</v>
      </c>
      <c r="C141" s="1577"/>
      <c r="D141" s="1577"/>
      <c r="E141" s="1577"/>
      <c r="F141" s="1578"/>
      <c r="G141" s="945" t="s">
        <v>124</v>
      </c>
      <c r="H141" s="1587"/>
      <c r="I141" s="1588"/>
      <c r="J141" s="49"/>
      <c r="K141" s="49"/>
      <c r="L141" s="49"/>
    </row>
    <row r="142" spans="1:16" ht="19.5" customHeight="1" x14ac:dyDescent="0.25">
      <c r="A142" s="49"/>
      <c r="B142" s="50"/>
      <c r="C142" s="50"/>
      <c r="D142" s="50"/>
      <c r="E142" s="49"/>
      <c r="F142" s="49"/>
      <c r="G142" s="49"/>
      <c r="H142" s="49"/>
      <c r="I142" s="49"/>
      <c r="J142" s="49"/>
      <c r="K142" s="49"/>
      <c r="L142" s="49"/>
    </row>
    <row r="143" spans="1:16" ht="16.5" customHeight="1" x14ac:dyDescent="0.25">
      <c r="A143" s="1592" t="s">
        <v>22</v>
      </c>
      <c r="B143" s="1592"/>
      <c r="C143" s="1592"/>
      <c r="D143" s="50"/>
      <c r="E143" s="50"/>
      <c r="F143" s="50"/>
      <c r="G143" s="50"/>
      <c r="H143" s="50"/>
      <c r="I143" s="50"/>
      <c r="J143" s="50"/>
      <c r="K143" s="50"/>
      <c r="L143" s="50"/>
    </row>
    <row r="144" spans="1:16" ht="15" customHeight="1" x14ac:dyDescent="0.25">
      <c r="A144" s="50"/>
      <c r="B144" s="50"/>
      <c r="C144" s="50"/>
      <c r="D144" s="50"/>
      <c r="E144" s="50"/>
      <c r="F144" s="50"/>
      <c r="G144" s="50"/>
      <c r="H144" s="50"/>
      <c r="I144" s="50"/>
      <c r="J144" s="50"/>
      <c r="K144" s="50"/>
      <c r="L144" s="50"/>
    </row>
    <row r="145" spans="1:12" ht="18" customHeight="1" x14ac:dyDescent="0.25">
      <c r="A145" s="50"/>
      <c r="B145" s="171" t="s">
        <v>53</v>
      </c>
      <c r="C145" s="1328">
        <f>MIN(1,IF(E132="Yes",1,0)+IF(E115="Yes",1,0))</f>
        <v>0</v>
      </c>
      <c r="D145" s="50"/>
      <c r="E145" s="50"/>
      <c r="F145" s="50"/>
      <c r="G145" s="50"/>
      <c r="H145" s="50"/>
      <c r="I145" s="50"/>
      <c r="J145" s="50"/>
      <c r="K145" s="50"/>
      <c r="L145" s="50"/>
    </row>
    <row r="146" spans="1:12" ht="18" customHeight="1" x14ac:dyDescent="0.25">
      <c r="A146" s="50"/>
      <c r="B146" s="171" t="s">
        <v>492</v>
      </c>
      <c r="C146" s="1328" t="str">
        <f>IF(AND(E132="Yes",COUNTIF(G140:G141,"Submitted")=2),"Yes",IF(AND(G137="Submitted",E115="Yes"),"Yes","No"))</f>
        <v>No</v>
      </c>
      <c r="D146" s="50"/>
      <c r="E146" s="50"/>
      <c r="F146" s="50"/>
      <c r="G146" s="50"/>
      <c r="H146" s="50"/>
      <c r="I146" s="50"/>
      <c r="J146" s="50"/>
      <c r="K146" s="50"/>
      <c r="L146" s="50"/>
    </row>
    <row r="147" spans="1:12" ht="15" customHeight="1" x14ac:dyDescent="0.25">
      <c r="A147" s="50"/>
      <c r="B147" s="50"/>
      <c r="C147" s="50"/>
      <c r="D147" s="50"/>
      <c r="E147" s="50"/>
      <c r="F147" s="49"/>
      <c r="G147" s="49"/>
      <c r="H147" s="49"/>
      <c r="I147" s="49"/>
      <c r="J147" s="49"/>
      <c r="K147" s="49"/>
      <c r="L147" s="49"/>
    </row>
    <row r="148" spans="1:12" ht="15" hidden="1" customHeight="1" x14ac:dyDescent="0.25"/>
  </sheetData>
  <sheetProtection algorithmName="SHA-512" hashValue="1taj06B2rBJFJvqOSskR8cbw0tMmJs8eqvDYmfB5rEwUoWtBs8+8qIkHIAf430e0waHIlS95C7fQoKbTjzXlNw==" saltValue="qKkAkngrxf+N0XB7PUHCfQ==" spinCount="100000" sheet="1" objects="1" scenarios="1"/>
  <mergeCells count="88">
    <mergeCell ref="B78:H78"/>
    <mergeCell ref="B12:E12"/>
    <mergeCell ref="B13:E13"/>
    <mergeCell ref="A1:L1"/>
    <mergeCell ref="H2:J4"/>
    <mergeCell ref="B60:F60"/>
    <mergeCell ref="H60:I60"/>
    <mergeCell ref="A71:C71"/>
    <mergeCell ref="B53:E53"/>
    <mergeCell ref="B56:C56"/>
    <mergeCell ref="B73:H73"/>
    <mergeCell ref="B74:H74"/>
    <mergeCell ref="B75:H75"/>
    <mergeCell ref="A38:C38"/>
    <mergeCell ref="A46:C46"/>
    <mergeCell ref="A58:C58"/>
    <mergeCell ref="B93:F93"/>
    <mergeCell ref="B29:C29"/>
    <mergeCell ref="B88:C88"/>
    <mergeCell ref="A64:C64"/>
    <mergeCell ref="C86:D86"/>
    <mergeCell ref="B61:F61"/>
    <mergeCell ref="B62:F62"/>
    <mergeCell ref="B36:F36"/>
    <mergeCell ref="B52:E52"/>
    <mergeCell ref="A69:L69"/>
    <mergeCell ref="C85:D85"/>
    <mergeCell ref="B81:F81"/>
    <mergeCell ref="B76:H76"/>
    <mergeCell ref="B77:H77"/>
    <mergeCell ref="B35:F35"/>
    <mergeCell ref="H35:I35"/>
    <mergeCell ref="B50:F50"/>
    <mergeCell ref="H61:I61"/>
    <mergeCell ref="H62:I62"/>
    <mergeCell ref="H36:I36"/>
    <mergeCell ref="B54:E54"/>
    <mergeCell ref="A5:L6"/>
    <mergeCell ref="B14:E14"/>
    <mergeCell ref="A17:L17"/>
    <mergeCell ref="A8:L8"/>
    <mergeCell ref="A44:L44"/>
    <mergeCell ref="B15:E15"/>
    <mergeCell ref="B23:H24"/>
    <mergeCell ref="A19:C19"/>
    <mergeCell ref="A33:C33"/>
    <mergeCell ref="B28:C28"/>
    <mergeCell ref="B31:C31"/>
    <mergeCell ref="B10:E10"/>
    <mergeCell ref="B11:E11"/>
    <mergeCell ref="H136:I136"/>
    <mergeCell ref="B137:F137"/>
    <mergeCell ref="H137:I137"/>
    <mergeCell ref="A100:L100"/>
    <mergeCell ref="A102:C102"/>
    <mergeCell ref="B123:F123"/>
    <mergeCell ref="N130:O130"/>
    <mergeCell ref="A143:C143"/>
    <mergeCell ref="B112:E112"/>
    <mergeCell ref="B113:E113"/>
    <mergeCell ref="N125:O126"/>
    <mergeCell ref="N131:O131"/>
    <mergeCell ref="B132:D132"/>
    <mergeCell ref="B115:D115"/>
    <mergeCell ref="B139:F139"/>
    <mergeCell ref="H139:I139"/>
    <mergeCell ref="B140:F140"/>
    <mergeCell ref="H140:I140"/>
    <mergeCell ref="B141:F141"/>
    <mergeCell ref="H141:I141"/>
    <mergeCell ref="A134:C134"/>
    <mergeCell ref="B136:F136"/>
    <mergeCell ref="B79:H79"/>
    <mergeCell ref="P125:P126"/>
    <mergeCell ref="N127:O127"/>
    <mergeCell ref="N128:O128"/>
    <mergeCell ref="N129:P129"/>
    <mergeCell ref="H93:I93"/>
    <mergeCell ref="B92:F92"/>
    <mergeCell ref="H92:I92"/>
    <mergeCell ref="A90:C90"/>
    <mergeCell ref="E85:G85"/>
    <mergeCell ref="E86:G86"/>
    <mergeCell ref="E83:G83"/>
    <mergeCell ref="C83:D83"/>
    <mergeCell ref="C84:D84"/>
    <mergeCell ref="E84:G84"/>
    <mergeCell ref="A95:C95"/>
  </mergeCells>
  <conditionalFormatting sqref="F11:G13">
    <cfRule type="expression" dxfId="305" priority="16">
      <formula>OR(#REF!="No",#REF!="Không")</formula>
    </cfRule>
  </conditionalFormatting>
  <conditionalFormatting sqref="F11:G13">
    <cfRule type="expression" dxfId="304" priority="14">
      <formula>OR($D11="No",$D11="Không")</formula>
    </cfRule>
    <cfRule type="expression" dxfId="303" priority="15">
      <formula>OR(#REF!="No",#REF!="Không")</formula>
    </cfRule>
  </conditionalFormatting>
  <conditionalFormatting sqref="B11:B13">
    <cfRule type="expression" dxfId="302" priority="13">
      <formula>#REF!="Option B"</formula>
    </cfRule>
  </conditionalFormatting>
  <conditionalFormatting sqref="B11:B13">
    <cfRule type="expression" dxfId="301" priority="12">
      <formula>#REF!="No"</formula>
    </cfRule>
  </conditionalFormatting>
  <conditionalFormatting sqref="H11:H13">
    <cfRule type="expression" dxfId="300" priority="11">
      <formula>OR(#REF!="No",#REF!="Không")</formula>
    </cfRule>
  </conditionalFormatting>
  <conditionalFormatting sqref="H11:H13">
    <cfRule type="expression" dxfId="299" priority="9">
      <formula>OR($D11="No",$D11="Không")</formula>
    </cfRule>
    <cfRule type="expression" dxfId="298" priority="10">
      <formula>OR(#REF!="No",#REF!="Không")</formula>
    </cfRule>
  </conditionalFormatting>
  <conditionalFormatting sqref="F14:G14">
    <cfRule type="expression" dxfId="297" priority="8">
      <formula>OR(#REF!="No",#REF!="Không")</formula>
    </cfRule>
  </conditionalFormatting>
  <conditionalFormatting sqref="F14:G14">
    <cfRule type="expression" dxfId="296" priority="6">
      <formula>OR($D14="No",$D14="Không")</formula>
    </cfRule>
    <cfRule type="expression" dxfId="295" priority="7">
      <formula>OR(#REF!="No",#REF!="Không")</formula>
    </cfRule>
  </conditionalFormatting>
  <conditionalFormatting sqref="B14:B15">
    <cfRule type="expression" dxfId="294" priority="5">
      <formula>#REF!="Option B"</formula>
    </cfRule>
  </conditionalFormatting>
  <conditionalFormatting sqref="B14:B15">
    <cfRule type="expression" dxfId="293" priority="4">
      <formula>#REF!="No"</formula>
    </cfRule>
  </conditionalFormatting>
  <conditionalFormatting sqref="H14">
    <cfRule type="expression" dxfId="292" priority="3">
      <formula>OR(#REF!="No",#REF!="Không")</formula>
    </cfRule>
  </conditionalFormatting>
  <conditionalFormatting sqref="H14">
    <cfRule type="expression" dxfId="291" priority="1">
      <formula>OR($D14="No",$D14="Không")</formula>
    </cfRule>
    <cfRule type="expression" dxfId="290" priority="2">
      <formula>OR(#REF!="No",#REF!="Không")</formula>
    </cfRule>
  </conditionalFormatting>
  <dataValidations count="9">
    <dataValidation type="list" allowBlank="1" showInputMessage="1" showErrorMessage="1" sqref="F53:H53" xr:uid="{00000000-0002-0000-1300-000000000000}">
      <formula1>"Select,Biomass,Photovoltaic (PV),Wind,Micro-hydro"</formula1>
    </dataValidation>
    <dataValidation type="list" allowBlank="1" showInputMessage="1" showErrorMessage="1" sqref="G36 G61:G62 G93 G137 G140:G141" xr:uid="{00000000-0002-0000-1300-000001000000}">
      <formula1>"Select,Submitted,Not submitted"</formula1>
    </dataValidation>
    <dataValidation type="list" allowBlank="1" showInputMessage="1" showErrorMessage="1" sqref="B84:B86" xr:uid="{00000000-0002-0000-1300-000002000000}">
      <formula1>"Select,Light occupancy sensor, Light dimmer,Daylight sensor,Automated shadings,Plug load control,Other"</formula1>
    </dataValidation>
    <dataValidation allowBlank="1" showInputMessage="1" showErrorMessage="1" prompt="Enter the spaces/locations where the energy control solutions have been installed." sqref="C83:D86" xr:uid="{00000000-0002-0000-1300-000003000000}"/>
    <dataValidation allowBlank="1" showInputMessage="1" showErrorMessage="1" prompt="Provide details on the way the energy control solution is working." sqref="E83:G86" xr:uid="{00000000-0002-0000-1300-000004000000}"/>
    <dataValidation type="list" allowBlank="1" showInputMessage="1" showErrorMessage="1" sqref="F52 G123 F112" xr:uid="{00000000-0002-0000-1300-000005000000}">
      <formula1>"Select,Yes,No"</formula1>
    </dataValidation>
    <dataValidation allowBlank="1" showInputMessage="1" showErrorMessage="1" prompt="Name of the equipment" sqref="B129:B130" xr:uid="{00000000-0002-0000-1300-000006000000}"/>
    <dataValidation type="list" allowBlank="1" showInputMessage="1" showErrorMessage="1" sqref="C129:C130" xr:uid="{00000000-0002-0000-1300-000007000000}">
      <formula1>"Select,Air-heated heat pumps, Water-heated heat pumps, Heat recovery AC - Hot water supply only, Heat recovery AC - AC and hot water supply"</formula1>
    </dataValidation>
    <dataValidation allowBlank="1" showInputMessage="1" showErrorMessage="1" prompt="As the conditions of air temperature and relative humidity are not indicated in the VBEEC, use COP values calculated at conditions which are the most representative of winter_x000a_conditions at the location of the project." sqref="E128:E130" xr:uid="{00000000-0002-0000-1300-000008000000}"/>
  </dataValidations>
  <hyperlinks>
    <hyperlink ref="L2" location="'E-4 Artificial Lighting'!D3" tooltip="E-4" display="E-4" xr:uid="{00000000-0004-0000-1300-000000000000}"/>
    <hyperlink ref="K2" location="'E-1 Passive Design'!B3" tooltip="E-1" display="E-1" xr:uid="{00000000-0004-0000-1300-000001000000}"/>
    <hyperlink ref="K3" location="'E-2 Building Envelope'!B3" tooltip="E-2" display="E-2" xr:uid="{00000000-0004-0000-1300-000002000000}"/>
    <hyperlink ref="L3" location="'E-5 Energy Efficient Appliances'!B3" tooltip="E-5" display="E-5" xr:uid="{00000000-0004-0000-1300-000003000000}"/>
    <hyperlink ref="L4" location="'E-6 Energy Monitor'!B3" tooltip="E-6" display="E-6" xr:uid="{00000000-0004-0000-1300-000004000000}"/>
    <hyperlink ref="K4" location="'E-3 Building Cooling'!B3" tooltip="E-3" display="E-3" xr:uid="{00000000-0004-0000-1300-000005000000}"/>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0563C1"/>
  </sheetPr>
  <dimension ref="A1:Q26"/>
  <sheetViews>
    <sheetView showRowColHeaders="0" zoomScale="90" zoomScaleNormal="90" workbookViewId="0">
      <selection activeCell="E6" sqref="E6:F6"/>
    </sheetView>
  </sheetViews>
  <sheetFormatPr defaultColWidth="0" defaultRowHeight="0" customHeight="1" zeroHeight="1" x14ac:dyDescent="0.25"/>
  <cols>
    <col min="1" max="1" width="5.7109375" customWidth="1"/>
    <col min="2" max="2" width="31.7109375" customWidth="1"/>
    <col min="3" max="3" width="3.5703125" customWidth="1"/>
    <col min="4" max="4" width="11.140625" customWidth="1"/>
    <col min="5" max="6" width="20.5703125" customWidth="1"/>
    <col min="7" max="8" width="19.7109375" customWidth="1"/>
    <col min="9" max="10" width="8" customWidth="1"/>
    <col min="11" max="11" width="5.28515625" customWidth="1"/>
    <col min="12" max="12" width="4.28515625" customWidth="1"/>
    <col min="13" max="17" width="0" hidden="1" customWidth="1"/>
    <col min="18" max="16384" width="9.140625" hidden="1"/>
  </cols>
  <sheetData>
    <row r="1" spans="1:12" ht="32.25" customHeight="1" x14ac:dyDescent="0.25">
      <c r="A1" s="335"/>
      <c r="B1" s="1868" t="s">
        <v>31</v>
      </c>
      <c r="C1" s="336"/>
      <c r="D1" s="311"/>
      <c r="E1" s="312"/>
      <c r="F1" s="312"/>
      <c r="G1" s="312"/>
      <c r="H1" s="312"/>
      <c r="I1" s="312"/>
      <c r="J1" s="312"/>
      <c r="K1" s="312"/>
      <c r="L1" s="313"/>
    </row>
    <row r="2" spans="1:12" ht="28.5" customHeight="1" x14ac:dyDescent="0.25">
      <c r="A2" s="337"/>
      <c r="B2" s="1869"/>
      <c r="C2" s="338"/>
      <c r="D2" s="314"/>
      <c r="E2" s="315"/>
      <c r="F2" s="315"/>
      <c r="G2" s="315"/>
      <c r="H2" s="315"/>
      <c r="I2" s="315"/>
      <c r="J2" s="315"/>
      <c r="K2" s="315"/>
      <c r="L2" s="316"/>
    </row>
    <row r="3" spans="1:12" ht="29.25" customHeight="1" x14ac:dyDescent="0.25">
      <c r="A3" s="337"/>
      <c r="B3" s="1869"/>
      <c r="C3" s="338"/>
      <c r="D3" s="314"/>
      <c r="E3" s="315"/>
      <c r="F3" s="315"/>
      <c r="G3" s="315"/>
      <c r="H3" s="315"/>
      <c r="I3" s="315"/>
      <c r="J3" s="315"/>
      <c r="K3" s="315"/>
      <c r="L3" s="316"/>
    </row>
    <row r="4" spans="1:12" ht="15" customHeight="1" x14ac:dyDescent="0.25">
      <c r="A4" s="337"/>
      <c r="B4" s="1870" t="str">
        <f>IF(A1="","To reduce the water consumption of a building through the use of water-efficient fixtures, rainwater harvesting, gray water recycling and  associated measures and to ensure a more sustainable management of the effluents","Nhằm giảm thiểu mức tiêu thụ nước trong công trình qua việc sử dụng thiết bị tiết kiệm nước, tận dụng nước mưa, tái sử dụng nước xám và nhiều cách quản lý việc sử dụng nước. ")</f>
        <v>To reduce the water consumption of a building through the use of water-efficient fixtures, rainwater harvesting, gray water recycling and  associated measures and to ensure a more sustainable management of the effluents</v>
      </c>
      <c r="C4" s="339"/>
      <c r="D4" s="314"/>
      <c r="E4" s="1873" t="s">
        <v>363</v>
      </c>
      <c r="F4" s="1873"/>
      <c r="G4" s="1867" t="s">
        <v>364</v>
      </c>
      <c r="H4" s="1867" t="s">
        <v>53</v>
      </c>
      <c r="I4" s="315"/>
      <c r="J4" s="315"/>
      <c r="K4" s="315"/>
      <c r="L4" s="316"/>
    </row>
    <row r="5" spans="1:12" ht="15" customHeight="1" x14ac:dyDescent="0.25">
      <c r="A5" s="337"/>
      <c r="B5" s="1870"/>
      <c r="C5" s="339"/>
      <c r="D5" s="314"/>
      <c r="E5" s="1873"/>
      <c r="F5" s="1873"/>
      <c r="G5" s="1867"/>
      <c r="H5" s="1867"/>
      <c r="I5" s="315"/>
      <c r="J5" s="315"/>
      <c r="K5" s="315"/>
      <c r="L5" s="316"/>
    </row>
    <row r="6" spans="1:12" ht="23.25" customHeight="1" x14ac:dyDescent="0.25">
      <c r="A6" s="337"/>
      <c r="B6" s="1870"/>
      <c r="C6" s="339"/>
      <c r="D6" s="314"/>
      <c r="E6" s="1874" t="s">
        <v>32</v>
      </c>
      <c r="F6" s="1874"/>
      <c r="G6" s="165">
        <v>5</v>
      </c>
      <c r="H6" s="165">
        <f>IF('W-1 Water Efficient Fixtures'!D11="Prescriptive Path",'W-1 Water Efficient Fixtures'!H14,IF('W-1 Water Efficient Fixtures'!D11="Performance Path",'W-1 Water Efficient Fixtures'!H20,0))</f>
        <v>0</v>
      </c>
      <c r="I6" s="315"/>
      <c r="J6" s="315"/>
      <c r="K6" s="315"/>
      <c r="L6" s="316"/>
    </row>
    <row r="7" spans="1:12" ht="23.25" customHeight="1" x14ac:dyDescent="0.25">
      <c r="A7" s="337"/>
      <c r="B7" s="1870"/>
      <c r="C7" s="339"/>
      <c r="D7" s="314"/>
      <c r="E7" s="1874" t="s">
        <v>33</v>
      </c>
      <c r="F7" s="1874"/>
      <c r="G7" s="165">
        <v>2</v>
      </c>
      <c r="H7" s="165">
        <f>IF('W-2 Water Efficient Landscaping'!E11="Prescriptive Path",'W-2 Water Efficient Landscaping'!J16,IF('W-2 Water Efficient Landscaping'!E11="Performance Path",'W-2 Water Efficient Landscaping'!J19,0))</f>
        <v>0</v>
      </c>
      <c r="I7" s="315"/>
      <c r="J7" s="315"/>
      <c r="K7" s="315"/>
      <c r="L7" s="316"/>
    </row>
    <row r="8" spans="1:12" ht="23.25" customHeight="1" x14ac:dyDescent="0.25">
      <c r="A8" s="340"/>
      <c r="B8" s="1870"/>
      <c r="C8" s="339"/>
      <c r="D8" s="314"/>
      <c r="E8" s="1874" t="s">
        <v>1068</v>
      </c>
      <c r="F8" s="1874"/>
      <c r="G8" s="165">
        <v>1</v>
      </c>
      <c r="H8" s="165">
        <f>'W-3 Drinking Water '!G12</f>
        <v>0</v>
      </c>
      <c r="I8" s="315"/>
      <c r="J8" s="315"/>
      <c r="K8" s="315"/>
      <c r="L8" s="316"/>
    </row>
    <row r="9" spans="1:12" ht="23.25" customHeight="1" x14ac:dyDescent="0.25">
      <c r="A9" s="340"/>
      <c r="B9" s="1870"/>
      <c r="C9" s="339"/>
      <c r="D9" s="314"/>
      <c r="E9" s="1874" t="s">
        <v>365</v>
      </c>
      <c r="F9" s="1874"/>
      <c r="G9" s="165">
        <v>3</v>
      </c>
      <c r="H9" s="165">
        <f>'Water BPC'!H13</f>
        <v>0</v>
      </c>
      <c r="I9" s="333"/>
      <c r="J9" s="333"/>
      <c r="K9" s="333"/>
      <c r="L9" s="334"/>
    </row>
    <row r="10" spans="1:12" ht="24" customHeight="1" x14ac:dyDescent="0.25">
      <c r="A10" s="340"/>
      <c r="B10" s="1870"/>
      <c r="C10" s="339"/>
      <c r="D10" s="314"/>
      <c r="E10" s="1875" t="s">
        <v>79</v>
      </c>
      <c r="F10" s="1876"/>
      <c r="G10" s="94">
        <f>SUM(G6:G9)</f>
        <v>11</v>
      </c>
      <c r="H10" s="94">
        <f>SUM(H6:H9)</f>
        <v>0</v>
      </c>
      <c r="I10" s="315"/>
      <c r="J10" s="315"/>
      <c r="K10" s="315"/>
      <c r="L10" s="316"/>
    </row>
    <row r="11" spans="1:12" ht="24" customHeight="1" x14ac:dyDescent="0.25">
      <c r="A11" s="340"/>
      <c r="B11" s="1870"/>
      <c r="C11" s="339"/>
      <c r="D11" s="314"/>
      <c r="E11" s="315"/>
      <c r="F11" s="315"/>
      <c r="G11" s="315"/>
      <c r="H11" s="315"/>
      <c r="I11" s="315"/>
      <c r="J11" s="315"/>
      <c r="K11" s="315"/>
      <c r="L11" s="316"/>
    </row>
    <row r="12" spans="1:12" ht="15" customHeight="1" x14ac:dyDescent="0.25">
      <c r="A12" s="340"/>
      <c r="B12" s="341"/>
      <c r="C12" s="342"/>
      <c r="D12" s="314"/>
      <c r="E12" s="315"/>
      <c r="F12" s="315"/>
      <c r="G12" s="315"/>
      <c r="H12" s="315"/>
      <c r="I12" s="315"/>
      <c r="J12" s="315"/>
      <c r="K12" s="315"/>
      <c r="L12" s="316"/>
    </row>
    <row r="13" spans="1:12" ht="15" customHeight="1" x14ac:dyDescent="0.25">
      <c r="A13" s="340"/>
      <c r="B13" s="341"/>
      <c r="C13" s="342"/>
      <c r="D13" s="314"/>
      <c r="E13" s="315"/>
      <c r="F13" s="315"/>
      <c r="G13" s="315"/>
      <c r="H13" s="315"/>
      <c r="I13" s="315"/>
      <c r="J13" s="315"/>
      <c r="K13" s="315"/>
      <c r="L13" s="316"/>
    </row>
    <row r="14" spans="1:12" ht="15" customHeight="1" x14ac:dyDescent="0.25">
      <c r="A14" s="340"/>
      <c r="B14" s="341"/>
      <c r="C14" s="342"/>
      <c r="D14" s="314"/>
      <c r="E14" s="315"/>
      <c r="F14" s="315"/>
      <c r="G14" s="315"/>
      <c r="H14" s="315"/>
      <c r="I14" s="315"/>
      <c r="J14" s="315"/>
      <c r="K14" s="315"/>
      <c r="L14" s="316"/>
    </row>
    <row r="15" spans="1:12" ht="15" customHeight="1" x14ac:dyDescent="0.25">
      <c r="A15" s="1871"/>
      <c r="B15" s="1872"/>
      <c r="C15" s="343"/>
      <c r="D15" s="317"/>
      <c r="E15" s="318"/>
      <c r="F15" s="318"/>
      <c r="G15" s="318"/>
      <c r="H15" s="318"/>
      <c r="I15" s="318"/>
      <c r="J15" s="318"/>
      <c r="K15" s="318"/>
      <c r="L15" s="319"/>
    </row>
    <row r="16" spans="1:12"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sheetData>
  <sheetProtection algorithmName="SHA-512" hashValue="PMMC36QcsyuY81U9gWhgbwHeTieIIbjr+B7bD7zETXvi8f8zLEhncw6qZbsIk4fegMpH9aIcpHL7YiulF999vA==" saltValue="HJ2FhADwOzCkfnBVR6AJmg==" spinCount="100000" sheet="1" objects="1" scenarios="1"/>
  <mergeCells count="11">
    <mergeCell ref="H4:H5"/>
    <mergeCell ref="B1:B3"/>
    <mergeCell ref="B4:B11"/>
    <mergeCell ref="A15:B15"/>
    <mergeCell ref="E4:F5"/>
    <mergeCell ref="E6:F6"/>
    <mergeCell ref="E7:F7"/>
    <mergeCell ref="E8:F8"/>
    <mergeCell ref="E9:F9"/>
    <mergeCell ref="G4:G5"/>
    <mergeCell ref="E10:F10"/>
  </mergeCells>
  <hyperlinks>
    <hyperlink ref="E6:F6" location="'W-1 Water Efficient Fixtures'!B3" tooltip="W-1 Water Efficient Fixtures" display="W-1 Water Efficient Fixtures" xr:uid="{00000000-0004-0000-1400-000000000000}"/>
    <hyperlink ref="E7:F7" location="'W-2 Water Efficient Landscaping'!E3" tooltip="W-2 Water Efficient Landscaping" display="W-2 Water Efficient Landscaping" xr:uid="{00000000-0004-0000-1400-000001000000}"/>
    <hyperlink ref="E8:F8" location="'W-3 Drinking Water '!B3" tooltip="W-3 Drinking Water " display="W-3 Drinking Water" xr:uid="{00000000-0004-0000-1400-000002000000}"/>
    <hyperlink ref="E9:F9" location="'Water BPC'!D3" tooltip="Best Practice Credits" display="Best Practice Credits" xr:uid="{00000000-0004-0000-1400-000003000000}"/>
  </hyperlinks>
  <pageMargins left="0.7" right="0.7" top="0.75" bottom="0.75" header="0.3" footer="0.3"/>
  <pageSetup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rgb="FF0563C1"/>
  </sheetPr>
  <dimension ref="A1:L289"/>
  <sheetViews>
    <sheetView showRowColHeaders="0" workbookViewId="0">
      <pane ySplit="8" topLeftCell="A9" activePane="bottomLeft" state="frozen"/>
      <selection pane="bottomLeft" activeCell="B16" sqref="B16:F16"/>
    </sheetView>
  </sheetViews>
  <sheetFormatPr defaultColWidth="0" defaultRowHeight="15" zeroHeight="1" x14ac:dyDescent="0.25"/>
  <cols>
    <col min="1" max="1" width="4.5703125" style="38" customWidth="1"/>
    <col min="2" max="3" width="18.7109375" style="38" customWidth="1"/>
    <col min="4" max="4" width="17.28515625" style="38" customWidth="1"/>
    <col min="5" max="5" width="16.7109375" style="38" customWidth="1"/>
    <col min="6" max="6" width="19.85546875" style="38" customWidth="1"/>
    <col min="7" max="7" width="20.28515625" style="38" customWidth="1"/>
    <col min="8" max="8" width="19.7109375" style="38" customWidth="1"/>
    <col min="9" max="9" width="20.5703125" style="38" customWidth="1"/>
    <col min="10" max="10" width="10.5703125" style="38" customWidth="1"/>
    <col min="11" max="11" width="10.5703125" style="38" hidden="1" customWidth="1"/>
    <col min="12" max="16384" width="9.140625" style="38" hidden="1"/>
  </cols>
  <sheetData>
    <row r="1" spans="1:12" ht="23.25" x14ac:dyDescent="0.25">
      <c r="A1" s="189" t="s">
        <v>32</v>
      </c>
      <c r="B1" s="218"/>
      <c r="C1" s="218"/>
      <c r="D1" s="218"/>
      <c r="E1" s="218"/>
      <c r="F1" s="218"/>
      <c r="G1" s="84"/>
      <c r="H1" s="84"/>
      <c r="I1" s="84"/>
      <c r="J1" s="84"/>
      <c r="K1" s="84"/>
      <c r="L1" s="84"/>
    </row>
    <row r="2" spans="1:12" ht="15" customHeight="1" x14ac:dyDescent="0.25">
      <c r="A2" s="50"/>
      <c r="B2" s="50"/>
      <c r="C2" s="50"/>
      <c r="D2" s="50"/>
      <c r="E2" s="50"/>
      <c r="F2" s="50"/>
      <c r="G2" s="49"/>
      <c r="H2" s="1585" t="s">
        <v>1740</v>
      </c>
      <c r="I2" s="1585"/>
      <c r="J2" s="216" t="s">
        <v>90</v>
      </c>
      <c r="K2" s="212"/>
      <c r="L2" s="49"/>
    </row>
    <row r="3" spans="1:12" ht="15" customHeight="1" x14ac:dyDescent="0.25">
      <c r="A3" s="50"/>
      <c r="B3" s="50"/>
      <c r="C3" s="50"/>
      <c r="D3" s="50"/>
      <c r="E3" s="50"/>
      <c r="F3" s="50"/>
      <c r="G3" s="49"/>
      <c r="H3" s="1585"/>
      <c r="I3" s="1585"/>
      <c r="J3" s="216" t="s">
        <v>94</v>
      </c>
      <c r="K3" s="212"/>
      <c r="L3" s="49"/>
    </row>
    <row r="4" spans="1:12" ht="15" customHeight="1" x14ac:dyDescent="0.25">
      <c r="A4" s="50"/>
      <c r="B4" s="50"/>
      <c r="C4" s="50"/>
      <c r="D4" s="50"/>
      <c r="E4" s="50"/>
      <c r="F4" s="50"/>
      <c r="G4" s="49"/>
      <c r="H4" s="1586"/>
      <c r="I4" s="1586"/>
      <c r="J4" s="216" t="s">
        <v>76</v>
      </c>
      <c r="K4" s="212"/>
      <c r="L4" s="49"/>
    </row>
    <row r="5" spans="1:12" ht="21" customHeight="1" x14ac:dyDescent="0.25">
      <c r="A5" s="1600" t="s">
        <v>2467</v>
      </c>
      <c r="B5" s="1601"/>
      <c r="C5" s="1601"/>
      <c r="D5" s="1601"/>
      <c r="E5" s="1601"/>
      <c r="F5" s="1601"/>
      <c r="G5" s="1601"/>
      <c r="H5" s="1601"/>
      <c r="I5" s="1601"/>
      <c r="J5" s="1601"/>
      <c r="K5" s="172"/>
      <c r="L5" s="173"/>
    </row>
    <row r="6" spans="1:12" ht="21" customHeight="1" x14ac:dyDescent="0.25">
      <c r="A6" s="1603"/>
      <c r="B6" s="1604"/>
      <c r="C6" s="1604"/>
      <c r="D6" s="1604"/>
      <c r="E6" s="1604"/>
      <c r="F6" s="1604"/>
      <c r="G6" s="1604"/>
      <c r="H6" s="1604"/>
      <c r="I6" s="1604"/>
      <c r="J6" s="1604"/>
      <c r="K6" s="174"/>
      <c r="L6" s="175"/>
    </row>
    <row r="7" spans="1:12" ht="21" customHeight="1" x14ac:dyDescent="0.25">
      <c r="A7" s="1606"/>
      <c r="B7" s="1607"/>
      <c r="C7" s="1607"/>
      <c r="D7" s="1607"/>
      <c r="E7" s="1607"/>
      <c r="F7" s="1607"/>
      <c r="G7" s="1607"/>
      <c r="H7" s="1607"/>
      <c r="I7" s="1607"/>
      <c r="J7" s="1607"/>
      <c r="K7" s="176"/>
      <c r="L7" s="177"/>
    </row>
    <row r="8" spans="1:12" ht="12" customHeight="1" x14ac:dyDescent="0.25">
      <c r="A8" s="49"/>
      <c r="B8" s="50"/>
      <c r="C8" s="50"/>
      <c r="D8" s="50"/>
      <c r="E8" s="50"/>
      <c r="F8" s="49"/>
      <c r="G8" s="49"/>
      <c r="H8" s="49"/>
      <c r="I8" s="49"/>
      <c r="J8" s="49"/>
      <c r="K8" s="49"/>
      <c r="L8" s="49"/>
    </row>
    <row r="9" spans="1:12" ht="18" customHeight="1" x14ac:dyDescent="0.25">
      <c r="A9" s="1885" t="s">
        <v>352</v>
      </c>
      <c r="B9" s="1885"/>
      <c r="C9" s="1885"/>
      <c r="D9" s="1885"/>
      <c r="E9" s="1885"/>
      <c r="F9" s="1885"/>
      <c r="G9" s="1885"/>
      <c r="H9" s="1885"/>
      <c r="I9" s="1885"/>
      <c r="J9" s="1885"/>
      <c r="K9" s="35"/>
      <c r="L9" s="35"/>
    </row>
    <row r="10" spans="1:12" x14ac:dyDescent="0.25">
      <c r="A10" s="49"/>
      <c r="B10" s="49"/>
      <c r="C10" s="49"/>
      <c r="D10" s="49"/>
      <c r="E10" s="49"/>
      <c r="F10" s="49"/>
      <c r="G10" s="49"/>
      <c r="H10" s="49"/>
      <c r="I10" s="49"/>
      <c r="J10" s="49"/>
      <c r="K10" s="49"/>
      <c r="L10" s="49"/>
    </row>
    <row r="11" spans="1:12" ht="18" customHeight="1" x14ac:dyDescent="0.25">
      <c r="A11" s="49"/>
      <c r="B11" s="1910" t="s">
        <v>232</v>
      </c>
      <c r="C11" s="1910"/>
      <c r="D11" s="1909" t="s">
        <v>124</v>
      </c>
      <c r="E11" s="1909"/>
      <c r="F11" s="49"/>
      <c r="G11" s="49"/>
      <c r="H11" s="49"/>
      <c r="I11" s="49"/>
      <c r="J11" s="49"/>
      <c r="K11" s="49"/>
      <c r="L11" s="49"/>
    </row>
    <row r="12" spans="1:12" x14ac:dyDescent="0.25">
      <c r="A12" s="49"/>
      <c r="B12" s="49"/>
      <c r="C12" s="49"/>
      <c r="D12" s="49"/>
      <c r="E12" s="49"/>
      <c r="F12" s="49"/>
      <c r="G12" s="49"/>
      <c r="H12" s="49"/>
      <c r="I12" s="49"/>
      <c r="J12" s="49"/>
      <c r="K12" s="49"/>
      <c r="L12" s="49"/>
    </row>
    <row r="13" spans="1:12" ht="18" customHeight="1" x14ac:dyDescent="0.25">
      <c r="A13" s="49"/>
      <c r="B13" s="1912" t="s">
        <v>193</v>
      </c>
      <c r="C13" s="1913"/>
      <c r="D13" s="1913"/>
      <c r="E13" s="1913"/>
      <c r="F13" s="1913"/>
      <c r="G13" s="1124" t="s">
        <v>152</v>
      </c>
      <c r="H13" s="1124" t="s">
        <v>53</v>
      </c>
      <c r="I13" s="1125" t="s">
        <v>492</v>
      </c>
      <c r="J13" s="49"/>
      <c r="K13" s="49"/>
      <c r="L13" s="49"/>
    </row>
    <row r="14" spans="1:12" ht="15" customHeight="1" x14ac:dyDescent="0.25">
      <c r="A14" s="49"/>
      <c r="B14" s="1911" t="s">
        <v>2431</v>
      </c>
      <c r="C14" s="1911"/>
      <c r="D14" s="1911"/>
      <c r="E14" s="1911"/>
      <c r="F14" s="1911"/>
      <c r="G14" s="1722">
        <v>5</v>
      </c>
      <c r="H14" s="1722" t="str">
        <f>IF(D11="Prescriptive Path",SUM(H77:H79),"")</f>
        <v/>
      </c>
      <c r="I14" s="1722" t="str">
        <f>C82</f>
        <v/>
      </c>
      <c r="J14" s="49"/>
      <c r="K14" s="49"/>
      <c r="L14" s="49"/>
    </row>
    <row r="15" spans="1:12" ht="15" customHeight="1" x14ac:dyDescent="0.25">
      <c r="A15" s="49"/>
      <c r="B15" s="1914" t="s">
        <v>2031</v>
      </c>
      <c r="C15" s="1914" t="s">
        <v>163</v>
      </c>
      <c r="D15" s="1914" t="s">
        <v>163</v>
      </c>
      <c r="E15" s="1914" t="s">
        <v>163</v>
      </c>
      <c r="F15" s="1914" t="s">
        <v>163</v>
      </c>
      <c r="G15" s="1722"/>
      <c r="H15" s="1722"/>
      <c r="I15" s="1722"/>
      <c r="J15" s="49"/>
      <c r="K15" s="49"/>
      <c r="L15" s="49"/>
    </row>
    <row r="16" spans="1:12" ht="15" customHeight="1" x14ac:dyDescent="0.25">
      <c r="A16" s="49"/>
      <c r="B16" s="1915" t="s">
        <v>2032</v>
      </c>
      <c r="C16" s="1915" t="s">
        <v>164</v>
      </c>
      <c r="D16" s="1915" t="s">
        <v>164</v>
      </c>
      <c r="E16" s="1915" t="s">
        <v>164</v>
      </c>
      <c r="F16" s="1915" t="s">
        <v>164</v>
      </c>
      <c r="G16" s="1722"/>
      <c r="H16" s="1722"/>
      <c r="I16" s="1722"/>
      <c r="J16" s="49"/>
      <c r="K16" s="49"/>
      <c r="L16" s="49"/>
    </row>
    <row r="17" spans="1:12" ht="8.25" customHeight="1" x14ac:dyDescent="0.25">
      <c r="A17" s="49"/>
      <c r="B17" s="49"/>
      <c r="C17" s="49"/>
      <c r="D17" s="49"/>
      <c r="E17" s="49"/>
      <c r="F17" s="49"/>
      <c r="G17" s="49"/>
      <c r="H17" s="49"/>
      <c r="I17" s="49"/>
      <c r="J17" s="49"/>
      <c r="K17" s="49"/>
      <c r="L17" s="49"/>
    </row>
    <row r="18" spans="1:12" ht="8.25" customHeight="1" x14ac:dyDescent="0.25">
      <c r="A18" s="49"/>
      <c r="B18" s="49"/>
      <c r="C18" s="49"/>
      <c r="D18" s="49"/>
      <c r="E18" s="49"/>
      <c r="F18" s="49"/>
      <c r="G18" s="49"/>
      <c r="H18" s="49"/>
      <c r="I18" s="49"/>
      <c r="J18" s="49"/>
      <c r="K18" s="49"/>
      <c r="L18" s="49"/>
    </row>
    <row r="19" spans="1:12" ht="18" customHeight="1" x14ac:dyDescent="0.25">
      <c r="A19" s="49"/>
      <c r="B19" s="1916" t="s">
        <v>192</v>
      </c>
      <c r="C19" s="1917"/>
      <c r="D19" s="1917"/>
      <c r="E19" s="1917"/>
      <c r="F19" s="1917"/>
      <c r="G19" s="580" t="s">
        <v>152</v>
      </c>
      <c r="H19" s="580" t="s">
        <v>53</v>
      </c>
      <c r="I19" s="66" t="s">
        <v>492</v>
      </c>
      <c r="J19" s="49"/>
      <c r="K19" s="49"/>
      <c r="L19" s="49"/>
    </row>
    <row r="20" spans="1:12" ht="33" customHeight="1" x14ac:dyDescent="0.25">
      <c r="A20" s="49"/>
      <c r="B20" s="1819" t="s">
        <v>276</v>
      </c>
      <c r="C20" s="1820"/>
      <c r="D20" s="1820"/>
      <c r="E20" s="1820"/>
      <c r="F20" s="1821"/>
      <c r="G20" s="72">
        <v>5</v>
      </c>
      <c r="H20" s="55" t="str">
        <f>IF(D11="Performance Path",C110,"")</f>
        <v/>
      </c>
      <c r="I20" s="55" t="str">
        <f>C111</f>
        <v/>
      </c>
      <c r="J20" s="49"/>
      <c r="K20" s="49"/>
      <c r="L20" s="49"/>
    </row>
    <row r="21" spans="1:12" x14ac:dyDescent="0.25">
      <c r="A21" s="49"/>
      <c r="B21" s="49"/>
      <c r="C21" s="49"/>
      <c r="D21" s="49"/>
      <c r="E21" s="49"/>
      <c r="F21" s="49"/>
      <c r="G21" s="49"/>
      <c r="H21" s="49"/>
      <c r="I21" s="49"/>
      <c r="J21" s="49"/>
      <c r="K21" s="49"/>
      <c r="L21" s="49"/>
    </row>
    <row r="22" spans="1:12" ht="18" customHeight="1" x14ac:dyDescent="0.25">
      <c r="A22" s="1885" t="s">
        <v>16</v>
      </c>
      <c r="B22" s="1885"/>
      <c r="C22" s="1885"/>
      <c r="D22" s="1885"/>
      <c r="E22" s="1885"/>
      <c r="F22" s="1885"/>
      <c r="G22" s="1885"/>
      <c r="H22" s="1885"/>
      <c r="I22" s="1885"/>
      <c r="J22" s="1885"/>
      <c r="K22" s="35"/>
      <c r="L22" s="35"/>
    </row>
    <row r="23" spans="1:12" ht="15" customHeight="1" x14ac:dyDescent="0.25">
      <c r="A23" s="269"/>
      <c r="B23" s="190"/>
      <c r="C23" s="190"/>
      <c r="D23" s="190"/>
      <c r="E23" s="190"/>
      <c r="F23" s="190"/>
      <c r="G23" s="190"/>
      <c r="H23" s="190"/>
      <c r="I23" s="190"/>
      <c r="J23" s="190"/>
      <c r="K23" s="190"/>
      <c r="L23" s="49"/>
    </row>
    <row r="24" spans="1:12" ht="16.5" customHeight="1" x14ac:dyDescent="0.25">
      <c r="A24" s="1877" t="s">
        <v>245</v>
      </c>
      <c r="B24" s="1877"/>
      <c r="C24" s="1877"/>
      <c r="D24" s="190"/>
      <c r="E24" s="190"/>
      <c r="F24" s="190"/>
      <c r="G24" s="190"/>
      <c r="H24" s="190"/>
      <c r="I24" s="190"/>
      <c r="J24" s="190"/>
      <c r="K24" s="190"/>
      <c r="L24" s="49"/>
    </row>
    <row r="25" spans="1:12" ht="15" customHeight="1" x14ac:dyDescent="0.25">
      <c r="A25" s="269"/>
      <c r="B25" s="190"/>
      <c r="C25" s="190"/>
      <c r="D25" s="190"/>
      <c r="E25" s="190"/>
      <c r="F25" s="190"/>
      <c r="G25" s="190"/>
      <c r="H25" s="190"/>
      <c r="I25" s="190"/>
      <c r="J25" s="190"/>
      <c r="K25" s="190"/>
      <c r="L25" s="49"/>
    </row>
    <row r="26" spans="1:12" ht="15" customHeight="1" x14ac:dyDescent="0.25">
      <c r="A26" s="269"/>
      <c r="B26" s="619" t="s">
        <v>1218</v>
      </c>
      <c r="C26" s="190"/>
      <c r="D26" s="190"/>
      <c r="E26" s="190"/>
      <c r="F26" s="190"/>
      <c r="G26" s="190"/>
      <c r="H26" s="190"/>
      <c r="I26" s="190"/>
      <c r="J26" s="190"/>
      <c r="K26" s="190"/>
      <c r="L26" s="49"/>
    </row>
    <row r="27" spans="1:12" ht="15" customHeight="1" x14ac:dyDescent="0.25">
      <c r="A27" s="269"/>
      <c r="B27" s="190"/>
      <c r="C27" s="190"/>
      <c r="D27" s="190"/>
      <c r="E27" s="190"/>
      <c r="F27" s="190"/>
      <c r="G27" s="190"/>
      <c r="H27" s="190"/>
      <c r="I27" s="190"/>
      <c r="J27" s="190"/>
      <c r="K27" s="190"/>
      <c r="L27" s="49"/>
    </row>
    <row r="28" spans="1:12" ht="15" customHeight="1" x14ac:dyDescent="0.25">
      <c r="A28" s="269"/>
      <c r="B28" s="1788" t="s">
        <v>1219</v>
      </c>
      <c r="C28" s="1789"/>
      <c r="D28" s="1789"/>
      <c r="E28" s="1789"/>
      <c r="F28" s="1789"/>
      <c r="G28" s="1790"/>
      <c r="H28" s="190"/>
      <c r="I28" s="190"/>
      <c r="J28" s="190"/>
      <c r="K28" s="190"/>
      <c r="L28" s="49"/>
    </row>
    <row r="29" spans="1:12" ht="15" customHeight="1" x14ac:dyDescent="0.25">
      <c r="A29" s="269"/>
      <c r="B29" s="1906" t="s">
        <v>1220</v>
      </c>
      <c r="C29" s="1783"/>
      <c r="D29" s="1783"/>
      <c r="E29" s="1783"/>
      <c r="F29" s="1783"/>
      <c r="G29" s="1784"/>
      <c r="H29" s="190"/>
      <c r="I29" s="190"/>
      <c r="J29" s="190"/>
      <c r="K29" s="190"/>
      <c r="L29" s="49"/>
    </row>
    <row r="30" spans="1:12" ht="15" customHeight="1" x14ac:dyDescent="0.25">
      <c r="A30" s="269"/>
      <c r="B30" s="1906" t="s">
        <v>2427</v>
      </c>
      <c r="C30" s="1783"/>
      <c r="D30" s="1783"/>
      <c r="E30" s="1783"/>
      <c r="F30" s="1783"/>
      <c r="G30" s="1784"/>
      <c r="H30" s="190"/>
      <c r="I30" s="190"/>
      <c r="J30" s="190"/>
      <c r="K30" s="190"/>
      <c r="L30" s="49"/>
    </row>
    <row r="31" spans="1:12" ht="15" customHeight="1" x14ac:dyDescent="0.25">
      <c r="A31" s="269"/>
      <c r="B31" s="1906" t="s">
        <v>1221</v>
      </c>
      <c r="C31" s="1783"/>
      <c r="D31" s="1783"/>
      <c r="E31" s="1783"/>
      <c r="F31" s="1783"/>
      <c r="G31" s="1784"/>
      <c r="H31" s="190"/>
      <c r="I31" s="190"/>
      <c r="J31" s="190"/>
      <c r="K31" s="190"/>
      <c r="L31" s="49"/>
    </row>
    <row r="32" spans="1:12" ht="15" customHeight="1" x14ac:dyDescent="0.25">
      <c r="A32" s="269"/>
      <c r="B32" s="1903" t="s">
        <v>1222</v>
      </c>
      <c r="C32" s="1904"/>
      <c r="D32" s="1904"/>
      <c r="E32" s="1904"/>
      <c r="F32" s="1904"/>
      <c r="G32" s="1905"/>
      <c r="H32" s="190"/>
      <c r="I32" s="190"/>
      <c r="J32" s="190"/>
      <c r="K32" s="190"/>
      <c r="L32" s="49"/>
    </row>
    <row r="33" spans="1:12" ht="9.75" customHeight="1" x14ac:dyDescent="0.25">
      <c r="A33" s="269"/>
      <c r="B33" s="190"/>
      <c r="C33" s="190"/>
      <c r="D33" s="190"/>
      <c r="E33" s="190"/>
      <c r="F33" s="190"/>
      <c r="G33" s="190"/>
      <c r="H33" s="190"/>
      <c r="I33" s="190"/>
      <c r="J33" s="190"/>
      <c r="K33" s="190"/>
      <c r="L33" s="49"/>
    </row>
    <row r="34" spans="1:12" ht="9.75" customHeight="1" x14ac:dyDescent="0.25">
      <c r="A34" s="269"/>
      <c r="B34" s="190"/>
      <c r="C34" s="190"/>
      <c r="D34" s="190"/>
      <c r="E34" s="190"/>
      <c r="F34" s="190"/>
      <c r="G34" s="190"/>
      <c r="H34" s="190"/>
      <c r="I34" s="190"/>
      <c r="J34" s="190"/>
      <c r="K34" s="190"/>
      <c r="L34" s="49"/>
    </row>
    <row r="35" spans="1:12" ht="18" customHeight="1" x14ac:dyDescent="0.25">
      <c r="A35" s="1877" t="s">
        <v>23</v>
      </c>
      <c r="B35" s="1877"/>
      <c r="C35" s="1877"/>
      <c r="D35" s="190"/>
      <c r="E35" s="190"/>
      <c r="F35" s="190"/>
      <c r="G35" s="190"/>
      <c r="H35" s="190"/>
      <c r="I35" s="190"/>
      <c r="J35" s="190"/>
      <c r="K35" s="190"/>
      <c r="L35" s="49"/>
    </row>
    <row r="36" spans="1:12" x14ac:dyDescent="0.25">
      <c r="A36" s="190"/>
      <c r="B36" s="190"/>
      <c r="C36" s="190"/>
      <c r="D36" s="190"/>
      <c r="E36" s="190"/>
      <c r="F36" s="190"/>
      <c r="G36" s="190"/>
      <c r="H36" s="190"/>
      <c r="I36" s="190"/>
      <c r="J36" s="190"/>
      <c r="K36" s="190"/>
      <c r="L36" s="49"/>
    </row>
    <row r="37" spans="1:12" x14ac:dyDescent="0.25">
      <c r="A37" s="190"/>
      <c r="B37" s="1907" t="s">
        <v>1240</v>
      </c>
      <c r="C37" s="1908"/>
      <c r="D37" s="1908"/>
      <c r="E37" s="1908"/>
      <c r="F37" s="1908"/>
      <c r="G37" s="190"/>
      <c r="H37" s="190"/>
      <c r="I37" s="190"/>
      <c r="J37" s="190"/>
      <c r="K37" s="190"/>
      <c r="L37" s="49"/>
    </row>
    <row r="38" spans="1:12" x14ac:dyDescent="0.25">
      <c r="A38" s="190"/>
      <c r="B38" s="190"/>
      <c r="C38" s="190"/>
      <c r="D38" s="190"/>
      <c r="E38" s="190"/>
      <c r="F38" s="190"/>
      <c r="G38" s="190"/>
      <c r="H38" s="190"/>
      <c r="I38" s="190"/>
      <c r="J38" s="190"/>
      <c r="K38" s="190"/>
      <c r="L38" s="49"/>
    </row>
    <row r="39" spans="1:12" ht="20.25" customHeight="1" x14ac:dyDescent="0.25">
      <c r="A39" s="190"/>
      <c r="B39" s="1890" t="s">
        <v>168</v>
      </c>
      <c r="C39" s="1891"/>
      <c r="D39" s="1898" t="s">
        <v>1559</v>
      </c>
      <c r="E39" s="1898"/>
      <c r="F39" s="1898" t="s">
        <v>170</v>
      </c>
      <c r="G39" s="1919" t="s">
        <v>172</v>
      </c>
      <c r="H39" s="190"/>
      <c r="I39" s="190"/>
      <c r="J39" s="190"/>
      <c r="K39" s="190"/>
      <c r="L39" s="49"/>
    </row>
    <row r="40" spans="1:12" ht="20.25" customHeight="1" x14ac:dyDescent="0.25">
      <c r="A40" s="190"/>
      <c r="B40" s="713" t="s">
        <v>173</v>
      </c>
      <c r="C40" s="714" t="s">
        <v>165</v>
      </c>
      <c r="D40" s="1899"/>
      <c r="E40" s="1899"/>
      <c r="F40" s="1899"/>
      <c r="G40" s="1920"/>
      <c r="H40" s="190"/>
      <c r="I40" s="190"/>
      <c r="J40" s="190"/>
      <c r="K40" s="190"/>
      <c r="L40" s="49"/>
    </row>
    <row r="41" spans="1:12" x14ac:dyDescent="0.25">
      <c r="A41" s="190"/>
      <c r="B41" s="1900"/>
      <c r="C41" s="1900" t="s">
        <v>2034</v>
      </c>
      <c r="D41" s="711" t="s">
        <v>166</v>
      </c>
      <c r="E41" s="653"/>
      <c r="F41" s="712">
        <v>3</v>
      </c>
      <c r="G41" s="1901" t="str">
        <f>IF(C41="Single Flush","No",IF(AND(E41&lt;&gt;"",E42&lt;&gt;""),IF(AND(E41&lt;=F41,E42&lt;=F42),"Yes","No"),""))</f>
        <v/>
      </c>
      <c r="H41" s="190"/>
      <c r="I41" s="190"/>
      <c r="J41" s="190"/>
      <c r="K41" s="190"/>
      <c r="L41" s="49"/>
    </row>
    <row r="42" spans="1:12" x14ac:dyDescent="0.25">
      <c r="A42" s="190"/>
      <c r="B42" s="1892"/>
      <c r="C42" s="1892"/>
      <c r="D42" s="73" t="s">
        <v>167</v>
      </c>
      <c r="E42" s="169"/>
      <c r="F42" s="74">
        <v>4.5</v>
      </c>
      <c r="G42" s="1902"/>
      <c r="H42" s="190"/>
      <c r="I42" s="190"/>
      <c r="J42" s="190"/>
      <c r="K42" s="190"/>
      <c r="L42" s="49"/>
    </row>
    <row r="43" spans="1:12" x14ac:dyDescent="0.25">
      <c r="A43" s="190"/>
      <c r="B43" s="1892"/>
      <c r="C43" s="1892" t="s">
        <v>124</v>
      </c>
      <c r="D43" s="73" t="s">
        <v>166</v>
      </c>
      <c r="E43" s="169"/>
      <c r="F43" s="74">
        <v>3</v>
      </c>
      <c r="G43" s="1902" t="str">
        <f>IF(C43="Single Flush","No",IF(AND(E43&lt;&gt;"",E44&lt;&gt;""),IF(AND(E43&lt;=F43,E44&lt;=F44),"Yes","No"),""))</f>
        <v/>
      </c>
      <c r="H43" s="190"/>
      <c r="I43" s="190"/>
      <c r="J43" s="190"/>
      <c r="K43" s="190"/>
      <c r="L43" s="49"/>
    </row>
    <row r="44" spans="1:12" x14ac:dyDescent="0.25">
      <c r="A44" s="190"/>
      <c r="B44" s="1892"/>
      <c r="C44" s="1892"/>
      <c r="D44" s="73" t="s">
        <v>167</v>
      </c>
      <c r="E44" s="169"/>
      <c r="F44" s="74">
        <v>4.5</v>
      </c>
      <c r="G44" s="1902"/>
      <c r="H44" s="190"/>
      <c r="I44" s="190"/>
      <c r="J44" s="190"/>
      <c r="K44" s="190"/>
      <c r="L44" s="49"/>
    </row>
    <row r="45" spans="1:12" x14ac:dyDescent="0.25">
      <c r="A45" s="190"/>
      <c r="B45" s="1892"/>
      <c r="C45" s="1892" t="s">
        <v>124</v>
      </c>
      <c r="D45" s="73" t="s">
        <v>166</v>
      </c>
      <c r="E45" s="169"/>
      <c r="F45" s="74">
        <v>3</v>
      </c>
      <c r="G45" s="1902" t="str">
        <f>IF(C45="Single Flush","No",IF(AND(E45&lt;&gt;"",E46&lt;&gt;""),IF(AND(E45&lt;=F45,E46&lt;=F46),"Yes","No"),""))</f>
        <v/>
      </c>
      <c r="H45" s="190"/>
      <c r="I45" s="190"/>
      <c r="J45" s="190"/>
      <c r="K45" s="190"/>
      <c r="L45" s="49"/>
    </row>
    <row r="46" spans="1:12" x14ac:dyDescent="0.25">
      <c r="A46" s="190"/>
      <c r="B46" s="1892"/>
      <c r="C46" s="1892"/>
      <c r="D46" s="73" t="s">
        <v>167</v>
      </c>
      <c r="E46" s="169"/>
      <c r="F46" s="74">
        <v>4.5</v>
      </c>
      <c r="G46" s="1918"/>
      <c r="H46" s="190"/>
      <c r="I46" s="190"/>
      <c r="J46" s="190"/>
      <c r="K46" s="190"/>
      <c r="L46" s="49"/>
    </row>
    <row r="47" spans="1:12" ht="16.5" customHeight="1" x14ac:dyDescent="0.25">
      <c r="A47" s="190"/>
      <c r="B47" s="190"/>
      <c r="C47" s="190"/>
      <c r="D47" s="190"/>
      <c r="E47" s="190"/>
      <c r="F47" s="190"/>
      <c r="G47" s="70" t="str">
        <f>IF(COUNTBLANK(E41:E46)=6,"",IF(COUNTIF(G41:G46,"Yes")=0,"No",IF(COUNTIF(G41:G46,"No")=0,"Yes","No")))</f>
        <v/>
      </c>
      <c r="H47" s="190"/>
      <c r="I47" s="190"/>
      <c r="J47" s="190"/>
      <c r="K47" s="190"/>
      <c r="L47" s="49"/>
    </row>
    <row r="48" spans="1:12" ht="12" customHeight="1" x14ac:dyDescent="0.25">
      <c r="A48" s="190"/>
      <c r="B48" s="190"/>
      <c r="C48" s="190"/>
      <c r="D48" s="190"/>
      <c r="E48" s="190"/>
      <c r="F48" s="190"/>
      <c r="G48" s="190"/>
      <c r="H48" s="190"/>
      <c r="I48" s="190"/>
      <c r="J48" s="190"/>
      <c r="K48" s="190"/>
      <c r="L48" s="49"/>
    </row>
    <row r="49" spans="1:12" ht="33" customHeight="1" x14ac:dyDescent="0.25">
      <c r="A49" s="190"/>
      <c r="B49" s="1893" t="s">
        <v>2429</v>
      </c>
      <c r="C49" s="1894"/>
      <c r="D49" s="1895" t="s">
        <v>169</v>
      </c>
      <c r="E49" s="1895"/>
      <c r="F49" s="1273" t="s">
        <v>170</v>
      </c>
      <c r="G49" s="1276" t="s">
        <v>172</v>
      </c>
      <c r="H49" s="190"/>
      <c r="I49" s="190"/>
      <c r="J49" s="190"/>
      <c r="K49" s="190"/>
      <c r="L49" s="49"/>
    </row>
    <row r="50" spans="1:12" x14ac:dyDescent="0.25">
      <c r="A50" s="190"/>
      <c r="B50" s="1900"/>
      <c r="C50" s="1900"/>
      <c r="D50" s="1900"/>
      <c r="E50" s="1900"/>
      <c r="F50" s="1274">
        <v>3</v>
      </c>
      <c r="G50" s="1274" t="str">
        <f>IF(D50&lt;&gt;"",IF(D50&lt;=F50,"Yes","No"),"")</f>
        <v/>
      </c>
      <c r="H50" s="190"/>
      <c r="I50" s="190"/>
      <c r="J50" s="190"/>
      <c r="K50" s="190"/>
      <c r="L50" s="49"/>
    </row>
    <row r="51" spans="1:12" x14ac:dyDescent="0.25">
      <c r="A51" s="190"/>
      <c r="B51" s="1892"/>
      <c r="C51" s="1892"/>
      <c r="D51" s="1892"/>
      <c r="E51" s="1892"/>
      <c r="F51" s="1274">
        <v>3</v>
      </c>
      <c r="G51" s="1275" t="str">
        <f>IF(D51&lt;&gt;"",IF(D51&lt;=F51,"Yes","No"),"")</f>
        <v/>
      </c>
      <c r="H51" s="190"/>
      <c r="I51" s="190"/>
      <c r="J51" s="190"/>
      <c r="K51" s="190"/>
      <c r="L51" s="49"/>
    </row>
    <row r="52" spans="1:12" x14ac:dyDescent="0.25">
      <c r="A52" s="190"/>
      <c r="B52" s="1892"/>
      <c r="C52" s="1892"/>
      <c r="D52" s="1892"/>
      <c r="E52" s="1892"/>
      <c r="F52" s="1274">
        <v>3</v>
      </c>
      <c r="G52" s="1275" t="str">
        <f>IF(D52&lt;&gt;"",IF(D52&lt;=F52,"Yes","No"),"")</f>
        <v/>
      </c>
      <c r="H52" s="190"/>
      <c r="I52" s="190"/>
      <c r="J52" s="190"/>
      <c r="K52" s="190"/>
      <c r="L52" s="49"/>
    </row>
    <row r="53" spans="1:12" ht="16.5" customHeight="1" x14ac:dyDescent="0.25">
      <c r="A53" s="190"/>
      <c r="B53" s="190"/>
      <c r="C53" s="190"/>
      <c r="D53" s="190"/>
      <c r="E53" s="190"/>
      <c r="F53" s="190"/>
      <c r="G53" s="70" t="str">
        <f>IF(COUNTBLANK(D50:E52)=6,"",IF(COUNTIF(G50:G52,"Yes")=0,"No",IF(COUNTIF(G50:G52,"No")=0,"Yes","No")))</f>
        <v/>
      </c>
      <c r="H53" s="190"/>
      <c r="I53" s="190"/>
      <c r="J53" s="190"/>
      <c r="K53" s="190"/>
      <c r="L53" s="49"/>
    </row>
    <row r="54" spans="1:12" ht="12" customHeight="1" x14ac:dyDescent="0.25">
      <c r="A54" s="190"/>
      <c r="B54" s="190"/>
      <c r="C54" s="190"/>
      <c r="D54" s="190"/>
      <c r="E54" s="190"/>
      <c r="F54" s="190"/>
      <c r="G54" s="190"/>
      <c r="H54" s="190"/>
      <c r="I54" s="190"/>
      <c r="J54" s="190"/>
      <c r="K54" s="190"/>
      <c r="L54" s="49"/>
    </row>
    <row r="55" spans="1:12" ht="33" customHeight="1" x14ac:dyDescent="0.25">
      <c r="A55" s="190"/>
      <c r="B55" s="1893" t="s">
        <v>2428</v>
      </c>
      <c r="C55" s="1894"/>
      <c r="D55" s="1895" t="s">
        <v>169</v>
      </c>
      <c r="E55" s="1895"/>
      <c r="F55" s="655" t="s">
        <v>171</v>
      </c>
      <c r="G55" s="652" t="s">
        <v>172</v>
      </c>
      <c r="H55" s="190"/>
      <c r="I55" s="190"/>
      <c r="J55" s="190"/>
      <c r="K55" s="190"/>
      <c r="L55" s="49"/>
    </row>
    <row r="56" spans="1:12" x14ac:dyDescent="0.25">
      <c r="A56" s="190"/>
      <c r="B56" s="1892"/>
      <c r="C56" s="1892"/>
      <c r="D56" s="1892"/>
      <c r="E56" s="1892"/>
      <c r="F56" s="85">
        <v>0.12</v>
      </c>
      <c r="G56" s="85" t="str">
        <f>IF(D56&lt;&gt;"",IF(D56&lt;=F56,"Yes","No"),"")</f>
        <v/>
      </c>
      <c r="H56" s="190"/>
      <c r="I56" s="190"/>
      <c r="J56" s="190"/>
      <c r="K56" s="190"/>
      <c r="L56" s="49"/>
    </row>
    <row r="57" spans="1:12" x14ac:dyDescent="0.25">
      <c r="A57" s="190"/>
      <c r="B57" s="1892"/>
      <c r="C57" s="1892"/>
      <c r="D57" s="1892"/>
      <c r="E57" s="1892"/>
      <c r="F57" s="85">
        <v>0.12</v>
      </c>
      <c r="G57" s="85" t="str">
        <f>IF(D57&lt;&gt;"",IF(D57&lt;=F57,"Yes","No"),"")</f>
        <v/>
      </c>
      <c r="H57" s="190"/>
      <c r="I57" s="190"/>
      <c r="J57" s="190"/>
      <c r="K57" s="190"/>
      <c r="L57" s="49"/>
    </row>
    <row r="58" spans="1:12" x14ac:dyDescent="0.25">
      <c r="A58" s="190"/>
      <c r="B58" s="1892"/>
      <c r="C58" s="1892"/>
      <c r="D58" s="1892"/>
      <c r="E58" s="1892"/>
      <c r="F58" s="85">
        <v>0.12</v>
      </c>
      <c r="G58" s="85" t="str">
        <f>IF(D58&lt;&gt;"",IF(D58&lt;=F58,"Yes","No"),"")</f>
        <v/>
      </c>
      <c r="H58" s="190"/>
      <c r="I58" s="190"/>
      <c r="J58" s="190"/>
      <c r="K58" s="190"/>
      <c r="L58" s="49"/>
    </row>
    <row r="59" spans="1:12" ht="16.5" customHeight="1" x14ac:dyDescent="0.25">
      <c r="A59" s="190"/>
      <c r="B59" s="190"/>
      <c r="C59" s="190"/>
      <c r="D59" s="190"/>
      <c r="E59" s="190"/>
      <c r="F59" s="190"/>
      <c r="G59" s="70" t="str">
        <f>IF(COUNTBLANK(D56:E58)=6,"",IF(COUNTIF(G56:G58,"Yes")=0,"No",IF(COUNTIF(G56:G58,"No")=0,"Yes","No")))</f>
        <v/>
      </c>
      <c r="H59" s="190"/>
      <c r="I59" s="190"/>
      <c r="J59" s="190"/>
      <c r="K59" s="190"/>
      <c r="L59" s="49"/>
    </row>
    <row r="60" spans="1:12" ht="12" customHeight="1" x14ac:dyDescent="0.25">
      <c r="A60" s="190"/>
      <c r="B60" s="190"/>
      <c r="C60" s="190"/>
      <c r="D60" s="190"/>
      <c r="E60" s="190"/>
      <c r="F60" s="190"/>
      <c r="G60" s="190"/>
      <c r="H60" s="190"/>
      <c r="I60" s="190"/>
      <c r="J60" s="190"/>
      <c r="K60" s="190"/>
      <c r="L60" s="49"/>
    </row>
    <row r="61" spans="1:12" ht="33" customHeight="1" x14ac:dyDescent="0.25">
      <c r="A61" s="190"/>
      <c r="B61" s="1893" t="s">
        <v>609</v>
      </c>
      <c r="C61" s="1894"/>
      <c r="D61" s="1895" t="s">
        <v>169</v>
      </c>
      <c r="E61" s="1895"/>
      <c r="F61" s="655" t="s">
        <v>171</v>
      </c>
      <c r="G61" s="652" t="s">
        <v>172</v>
      </c>
      <c r="H61" s="190"/>
      <c r="I61" s="190"/>
      <c r="J61" s="190"/>
      <c r="K61" s="190"/>
      <c r="L61" s="49"/>
    </row>
    <row r="62" spans="1:12" x14ac:dyDescent="0.25">
      <c r="A62" s="190"/>
      <c r="B62" s="1892"/>
      <c r="C62" s="1892"/>
      <c r="D62" s="1892"/>
      <c r="E62" s="1892"/>
      <c r="F62" s="1274">
        <v>0.14000000000000001</v>
      </c>
      <c r="G62" s="85" t="str">
        <f>IF(D62&lt;&gt;"",IF(D62&lt;=F62,"Yes","No"),"")</f>
        <v/>
      </c>
      <c r="H62" s="190"/>
      <c r="I62" s="190"/>
      <c r="J62" s="190"/>
      <c r="K62" s="190"/>
      <c r="L62" s="49"/>
    </row>
    <row r="63" spans="1:12" x14ac:dyDescent="0.25">
      <c r="A63" s="190"/>
      <c r="B63" s="1892"/>
      <c r="C63" s="1892"/>
      <c r="D63" s="1892"/>
      <c r="E63" s="1892"/>
      <c r="F63" s="1275">
        <v>0.14000000000000001</v>
      </c>
      <c r="G63" s="85" t="str">
        <f>IF(D63&lt;&gt;"",IF(D63&lt;=F63,"Yes","No"),"")</f>
        <v/>
      </c>
      <c r="H63" s="190"/>
      <c r="I63" s="190"/>
      <c r="J63" s="190"/>
      <c r="K63" s="190"/>
      <c r="L63" s="49"/>
    </row>
    <row r="64" spans="1:12" x14ac:dyDescent="0.25">
      <c r="A64" s="190"/>
      <c r="B64" s="1896"/>
      <c r="C64" s="1897"/>
      <c r="D64" s="1892"/>
      <c r="E64" s="1892"/>
      <c r="F64" s="1275">
        <v>0.14000000000000001</v>
      </c>
      <c r="G64" s="85" t="str">
        <f>IF(D64&lt;&gt;"",IF(D64&lt;=F64,"Yes","No"),"")</f>
        <v/>
      </c>
      <c r="H64" s="190"/>
      <c r="I64" s="190"/>
      <c r="J64" s="190"/>
      <c r="K64" s="190"/>
      <c r="L64" s="50"/>
    </row>
    <row r="65" spans="1:12" ht="16.5" customHeight="1" x14ac:dyDescent="0.25">
      <c r="A65" s="190"/>
      <c r="B65" s="190"/>
      <c r="C65" s="190"/>
      <c r="D65" s="190"/>
      <c r="E65" s="190"/>
      <c r="F65" s="190"/>
      <c r="G65" s="70" t="str">
        <f>IF(COUNTBLANK(D62:E64)=6,"",IF(COUNTIF(G62:G64,"Yes")=0,"No",IF(COUNTIF(G62:G64,"No")=0,"Yes","No")))</f>
        <v/>
      </c>
      <c r="H65" s="190"/>
      <c r="I65" s="190"/>
      <c r="J65" s="190"/>
      <c r="K65" s="190"/>
      <c r="L65" s="50"/>
    </row>
    <row r="66" spans="1:12" ht="12" customHeight="1" x14ac:dyDescent="0.25">
      <c r="A66" s="190"/>
      <c r="B66" s="190"/>
      <c r="C66" s="190"/>
      <c r="D66" s="190"/>
      <c r="E66" s="190"/>
      <c r="F66" s="190"/>
      <c r="G66" s="190"/>
      <c r="H66" s="190"/>
      <c r="I66" s="190"/>
      <c r="J66" s="190"/>
      <c r="K66" s="190"/>
      <c r="L66" s="50"/>
    </row>
    <row r="67" spans="1:12" x14ac:dyDescent="0.25">
      <c r="A67" s="190"/>
      <c r="B67" s="190"/>
      <c r="C67" s="190"/>
      <c r="D67" s="190"/>
      <c r="E67" s="190"/>
      <c r="F67" s="190"/>
      <c r="G67" s="190"/>
      <c r="H67" s="190"/>
      <c r="I67" s="190"/>
      <c r="J67" s="190"/>
      <c r="K67" s="190"/>
      <c r="L67" s="50"/>
    </row>
    <row r="68" spans="1:12" ht="16.5" customHeight="1" x14ac:dyDescent="0.25">
      <c r="A68" s="1877" t="s">
        <v>186</v>
      </c>
      <c r="B68" s="1877"/>
      <c r="C68" s="1877"/>
      <c r="D68" s="190"/>
      <c r="E68" s="190"/>
      <c r="F68" s="190"/>
      <c r="G68" s="190"/>
      <c r="H68" s="190"/>
      <c r="I68" s="190"/>
      <c r="J68" s="190"/>
      <c r="K68" s="190"/>
      <c r="L68" s="50"/>
    </row>
    <row r="69" spans="1:12" ht="12.75" customHeight="1" x14ac:dyDescent="0.25">
      <c r="A69" s="190"/>
      <c r="B69" s="190"/>
      <c r="C69" s="190"/>
      <c r="D69" s="190"/>
      <c r="E69" s="190"/>
      <c r="F69" s="190"/>
      <c r="G69" s="190"/>
      <c r="H69" s="190"/>
      <c r="I69" s="190"/>
      <c r="J69" s="190"/>
      <c r="K69" s="190"/>
      <c r="L69" s="50"/>
    </row>
    <row r="70" spans="1:12" ht="18" customHeight="1" x14ac:dyDescent="0.25">
      <c r="A70" s="190"/>
      <c r="B70" s="1880" t="s">
        <v>1739</v>
      </c>
      <c r="C70" s="1881"/>
      <c r="D70" s="1881"/>
      <c r="E70" s="1881"/>
      <c r="F70" s="1881"/>
      <c r="G70" s="935" t="s">
        <v>1737</v>
      </c>
      <c r="H70" s="1878" t="s">
        <v>1738</v>
      </c>
      <c r="I70" s="1879"/>
      <c r="J70" s="190"/>
      <c r="K70" s="190"/>
      <c r="L70" s="50"/>
    </row>
    <row r="71" spans="1:12" ht="28.5" customHeight="1" x14ac:dyDescent="0.25">
      <c r="A71" s="190"/>
      <c r="B71" s="1576" t="s">
        <v>2033</v>
      </c>
      <c r="C71" s="1577"/>
      <c r="D71" s="1577"/>
      <c r="E71" s="1577"/>
      <c r="F71" s="1577"/>
      <c r="G71" s="565" t="s">
        <v>124</v>
      </c>
      <c r="H71" s="1587"/>
      <c r="I71" s="1588"/>
      <c r="J71" s="190"/>
      <c r="K71" s="190"/>
      <c r="L71" s="50"/>
    </row>
    <row r="72" spans="1:12" ht="27" customHeight="1" x14ac:dyDescent="0.25">
      <c r="A72" s="190"/>
      <c r="B72" s="1576" t="s">
        <v>1522</v>
      </c>
      <c r="C72" s="1577"/>
      <c r="D72" s="1577"/>
      <c r="E72" s="1577"/>
      <c r="F72" s="1577"/>
      <c r="G72" s="809" t="s">
        <v>124</v>
      </c>
      <c r="H72" s="1587"/>
      <c r="I72" s="1588"/>
      <c r="J72" s="190"/>
      <c r="K72" s="190"/>
      <c r="L72" s="50"/>
    </row>
    <row r="73" spans="1:12" ht="16.5" customHeight="1" x14ac:dyDescent="0.25">
      <c r="A73" s="190"/>
      <c r="B73" s="190"/>
      <c r="C73" s="190"/>
      <c r="D73" s="190"/>
      <c r="E73" s="190"/>
      <c r="F73" s="190"/>
      <c r="G73" s="190"/>
      <c r="H73" s="190"/>
      <c r="I73" s="190"/>
      <c r="J73" s="190"/>
      <c r="K73" s="190"/>
      <c r="L73" s="50"/>
    </row>
    <row r="74" spans="1:12" ht="16.5" customHeight="1" x14ac:dyDescent="0.25">
      <c r="A74" s="1877" t="s">
        <v>22</v>
      </c>
      <c r="B74" s="1877"/>
      <c r="C74" s="1877"/>
      <c r="D74" s="190"/>
      <c r="E74" s="190"/>
      <c r="F74" s="190"/>
      <c r="G74" s="190"/>
      <c r="H74" s="190"/>
      <c r="I74" s="190"/>
      <c r="J74" s="190"/>
      <c r="K74" s="190"/>
      <c r="L74" s="50"/>
    </row>
    <row r="75" spans="1:12" x14ac:dyDescent="0.25">
      <c r="A75" s="190"/>
      <c r="B75" s="190"/>
      <c r="C75" s="190"/>
      <c r="D75" s="190"/>
      <c r="E75" s="190"/>
      <c r="F75" s="190"/>
      <c r="G75" s="190"/>
      <c r="H75" s="190"/>
      <c r="I75" s="190"/>
      <c r="J75" s="190"/>
      <c r="K75" s="190"/>
      <c r="L75" s="49"/>
    </row>
    <row r="76" spans="1:12" ht="18" customHeight="1" x14ac:dyDescent="0.25">
      <c r="A76" s="190"/>
      <c r="B76" s="1887" t="s">
        <v>194</v>
      </c>
      <c r="C76" s="1888"/>
      <c r="D76" s="1888"/>
      <c r="E76" s="1888"/>
      <c r="F76" s="1888"/>
      <c r="G76" s="582" t="s">
        <v>172</v>
      </c>
      <c r="H76" s="656" t="s">
        <v>53</v>
      </c>
      <c r="I76" s="190"/>
      <c r="J76" s="190"/>
      <c r="K76" s="190"/>
      <c r="L76" s="49"/>
    </row>
    <row r="77" spans="1:12" ht="16.5" customHeight="1" x14ac:dyDescent="0.25">
      <c r="A77" s="190"/>
      <c r="B77" s="1889" t="s">
        <v>2430</v>
      </c>
      <c r="C77" s="1889"/>
      <c r="D77" s="1889"/>
      <c r="E77" s="1889"/>
      <c r="F77" s="1889"/>
      <c r="G77" s="63" t="str">
        <f>IF(AND(OR(G47="Yes",G53="Yes"),G53&lt;&gt;"No",G47&lt;&gt;"No"),"Yes","No")</f>
        <v>No</v>
      </c>
      <c r="H77" s="715">
        <f>IF(G77="Yes",2,0)</f>
        <v>0</v>
      </c>
      <c r="I77" s="190"/>
      <c r="J77" s="190"/>
      <c r="K77" s="190"/>
      <c r="L77" s="49"/>
    </row>
    <row r="78" spans="1:12" ht="16.5" customHeight="1" x14ac:dyDescent="0.25">
      <c r="A78" s="190"/>
      <c r="B78" s="1884" t="s">
        <v>1242</v>
      </c>
      <c r="C78" s="1884" t="s">
        <v>164</v>
      </c>
      <c r="D78" s="1884" t="s">
        <v>164</v>
      </c>
      <c r="E78" s="1884" t="s">
        <v>164</v>
      </c>
      <c r="F78" s="1884" t="s">
        <v>164</v>
      </c>
      <c r="G78" s="63" t="str">
        <f>IF(AND(G59="Yes",G59&lt;&gt;"No"),"Yes","No")</f>
        <v>No</v>
      </c>
      <c r="H78" s="86">
        <f>IF(G78="Yes",2,0)</f>
        <v>0</v>
      </c>
      <c r="I78" s="190"/>
      <c r="J78" s="190"/>
      <c r="K78" s="190"/>
      <c r="L78" s="49"/>
    </row>
    <row r="79" spans="1:12" ht="16.5" customHeight="1" x14ac:dyDescent="0.25">
      <c r="A79" s="190"/>
      <c r="B79" s="1884" t="s">
        <v>1241</v>
      </c>
      <c r="C79" s="1884" t="s">
        <v>163</v>
      </c>
      <c r="D79" s="1884" t="s">
        <v>163</v>
      </c>
      <c r="E79" s="1884" t="s">
        <v>163</v>
      </c>
      <c r="F79" s="1884" t="s">
        <v>163</v>
      </c>
      <c r="G79" s="63" t="str">
        <f>IF(G65="","No",G65)</f>
        <v>No</v>
      </c>
      <c r="H79" s="86">
        <f>IF(G79="Yes",1,0)</f>
        <v>0</v>
      </c>
      <c r="I79" s="190"/>
      <c r="J79" s="190"/>
      <c r="K79" s="190"/>
      <c r="L79" s="49"/>
    </row>
    <row r="80" spans="1:12" x14ac:dyDescent="0.25">
      <c r="A80" s="190"/>
      <c r="B80" s="190"/>
      <c r="C80" s="190"/>
      <c r="D80" s="190"/>
      <c r="E80" s="190"/>
      <c r="F80" s="190"/>
      <c r="G80" s="190"/>
      <c r="H80" s="190"/>
      <c r="I80" s="190"/>
      <c r="J80" s="190"/>
      <c r="K80" s="190"/>
      <c r="L80" s="50"/>
    </row>
    <row r="81" spans="1:12" ht="18" customHeight="1" x14ac:dyDescent="0.25">
      <c r="A81" s="190"/>
      <c r="B81" s="179" t="s">
        <v>53</v>
      </c>
      <c r="C81" s="1335" t="str">
        <f>IF(D11="Prescriptive Path",SUM(H77:H79),"")</f>
        <v/>
      </c>
      <c r="D81" s="190"/>
      <c r="E81" s="190"/>
      <c r="F81" s="190"/>
      <c r="G81" s="190"/>
      <c r="H81" s="190"/>
      <c r="I81" s="190"/>
      <c r="J81" s="190"/>
      <c r="K81" s="190"/>
      <c r="L81" s="50"/>
    </row>
    <row r="82" spans="1:12" ht="18" customHeight="1" x14ac:dyDescent="0.25">
      <c r="A82" s="190"/>
      <c r="B82" s="186" t="s">
        <v>492</v>
      </c>
      <c r="C82" s="1335" t="str">
        <f>IF(D11="Prescriptive Path",IF(AND(COUNTIF(G71:G72,"Submitted")=2,C81&gt;0),"Yes","No"),"")</f>
        <v/>
      </c>
      <c r="D82" s="190"/>
      <c r="E82" s="190"/>
      <c r="F82" s="190"/>
      <c r="G82" s="190"/>
      <c r="H82" s="190"/>
      <c r="I82" s="190"/>
      <c r="J82" s="190"/>
      <c r="K82" s="190"/>
      <c r="L82" s="50"/>
    </row>
    <row r="83" spans="1:12" ht="19.5" customHeight="1" x14ac:dyDescent="0.25">
      <c r="A83" s="190"/>
      <c r="B83" s="190"/>
      <c r="C83" s="190"/>
      <c r="D83" s="190"/>
      <c r="E83" s="190"/>
      <c r="F83" s="190"/>
      <c r="G83" s="190"/>
      <c r="H83" s="190"/>
      <c r="I83" s="190"/>
      <c r="J83" s="190"/>
      <c r="K83" s="190"/>
      <c r="L83" s="50"/>
    </row>
    <row r="84" spans="1:12" ht="18" customHeight="1" x14ac:dyDescent="0.25">
      <c r="A84" s="1885" t="s">
        <v>15</v>
      </c>
      <c r="B84" s="1885"/>
      <c r="C84" s="1885"/>
      <c r="D84" s="1885"/>
      <c r="E84" s="1885"/>
      <c r="F84" s="1885"/>
      <c r="G84" s="1885"/>
      <c r="H84" s="1885"/>
      <c r="I84" s="1885"/>
      <c r="J84" s="1885"/>
      <c r="K84" s="35"/>
      <c r="L84" s="35"/>
    </row>
    <row r="85" spans="1:12" x14ac:dyDescent="0.25">
      <c r="A85" s="344"/>
      <c r="B85" s="344"/>
      <c r="C85" s="344"/>
      <c r="D85" s="344"/>
      <c r="E85" s="344"/>
      <c r="F85" s="344"/>
      <c r="G85" s="344"/>
      <c r="H85" s="344"/>
      <c r="I85" s="344"/>
      <c r="J85" s="344"/>
      <c r="K85" s="215"/>
      <c r="L85" s="49"/>
    </row>
    <row r="86" spans="1:12" x14ac:dyDescent="0.25">
      <c r="A86" s="1877" t="s">
        <v>245</v>
      </c>
      <c r="B86" s="1877"/>
      <c r="C86" s="1877"/>
      <c r="D86" s="344"/>
      <c r="E86" s="344"/>
      <c r="F86" s="344"/>
      <c r="G86" s="344"/>
      <c r="H86" s="344"/>
      <c r="I86" s="344"/>
      <c r="J86" s="344"/>
      <c r="K86" s="215"/>
      <c r="L86" s="49"/>
    </row>
    <row r="87" spans="1:12" x14ac:dyDescent="0.25">
      <c r="A87" s="716"/>
      <c r="B87" s="717"/>
      <c r="C87" s="717"/>
      <c r="D87" s="344"/>
      <c r="E87" s="344"/>
      <c r="F87" s="344"/>
      <c r="G87" s="344"/>
      <c r="H87" s="344"/>
      <c r="I87" s="344"/>
      <c r="J87" s="344"/>
      <c r="K87" s="215"/>
      <c r="L87" s="49"/>
    </row>
    <row r="88" spans="1:12" x14ac:dyDescent="0.25">
      <c r="A88" s="716"/>
      <c r="B88" s="718" t="s">
        <v>1238</v>
      </c>
      <c r="C88" s="717"/>
      <c r="D88" s="344"/>
      <c r="E88" s="344"/>
      <c r="F88" s="344"/>
      <c r="G88" s="344"/>
      <c r="H88" s="344"/>
      <c r="I88" s="344"/>
      <c r="J88" s="344"/>
      <c r="K88" s="215"/>
      <c r="L88" s="49"/>
    </row>
    <row r="89" spans="1:12" ht="18" customHeight="1" x14ac:dyDescent="0.25">
      <c r="A89" s="716"/>
      <c r="B89" s="718"/>
      <c r="C89" s="717"/>
      <c r="D89" s="344"/>
      <c r="E89" s="344"/>
      <c r="F89" s="344"/>
      <c r="G89" s="344"/>
      <c r="H89" s="344"/>
      <c r="I89" s="344"/>
      <c r="J89" s="344"/>
      <c r="K89" s="215"/>
      <c r="L89" s="49"/>
    </row>
    <row r="90" spans="1:12" ht="17.25" customHeight="1" x14ac:dyDescent="0.25">
      <c r="A90" s="1877" t="s">
        <v>23</v>
      </c>
      <c r="B90" s="1877"/>
      <c r="C90" s="1877"/>
      <c r="D90" s="344"/>
      <c r="E90" s="344"/>
      <c r="F90" s="344"/>
      <c r="G90" s="344"/>
      <c r="H90" s="344"/>
      <c r="I90" s="344"/>
      <c r="J90" s="344"/>
      <c r="K90" s="215"/>
      <c r="L90" s="49"/>
    </row>
    <row r="91" spans="1:12" x14ac:dyDescent="0.25">
      <c r="A91" s="344"/>
      <c r="B91" s="344"/>
      <c r="C91" s="344"/>
      <c r="D91" s="344"/>
      <c r="E91" s="344"/>
      <c r="F91" s="344"/>
      <c r="G91" s="344"/>
      <c r="H91" s="344"/>
      <c r="I91" s="344"/>
      <c r="J91" s="344"/>
      <c r="K91" s="217"/>
      <c r="L91" s="50"/>
    </row>
    <row r="92" spans="1:12" x14ac:dyDescent="0.25">
      <c r="A92" s="344"/>
      <c r="B92" s="344" t="s">
        <v>1239</v>
      </c>
      <c r="C92" s="344"/>
      <c r="D92" s="344"/>
      <c r="E92" s="344"/>
      <c r="F92" s="344"/>
      <c r="G92" s="344"/>
      <c r="H92" s="344"/>
      <c r="I92" s="344"/>
      <c r="J92" s="344"/>
      <c r="K92" s="217"/>
      <c r="L92" s="50"/>
    </row>
    <row r="93" spans="1:12" x14ac:dyDescent="0.25">
      <c r="A93" s="344"/>
      <c r="B93" s="344" t="s">
        <v>2469</v>
      </c>
      <c r="C93" s="344"/>
      <c r="D93" s="344"/>
      <c r="E93" s="344"/>
      <c r="F93" s="344"/>
      <c r="G93" s="344"/>
      <c r="H93" s="344"/>
      <c r="I93" s="344"/>
      <c r="J93" s="344"/>
      <c r="K93" s="217"/>
      <c r="L93" s="50"/>
    </row>
    <row r="94" spans="1:12" x14ac:dyDescent="0.25">
      <c r="A94" s="716"/>
      <c r="B94" s="719"/>
      <c r="C94" s="717"/>
      <c r="D94" s="344"/>
      <c r="E94" s="344"/>
      <c r="F94" s="344"/>
      <c r="G94" s="344"/>
      <c r="H94" s="344"/>
      <c r="I94" s="344"/>
      <c r="J94" s="344"/>
      <c r="K94" s="215"/>
      <c r="L94" s="49"/>
    </row>
    <row r="95" spans="1:12" ht="15" customHeight="1" x14ac:dyDescent="0.25">
      <c r="A95" s="716"/>
      <c r="B95" s="1886" t="s">
        <v>2468</v>
      </c>
      <c r="C95" s="1886"/>
      <c r="D95" s="1886"/>
      <c r="E95" s="1886"/>
      <c r="F95" s="1886"/>
      <c r="G95" s="1886"/>
      <c r="H95" s="344"/>
      <c r="I95" s="344"/>
      <c r="J95" s="344"/>
      <c r="K95" s="215"/>
      <c r="L95" s="49"/>
    </row>
    <row r="96" spans="1:12" x14ac:dyDescent="0.25">
      <c r="A96" s="716"/>
      <c r="B96" s="719"/>
      <c r="C96" s="717"/>
      <c r="D96" s="344"/>
      <c r="E96" s="344"/>
      <c r="F96" s="344"/>
      <c r="G96" s="344"/>
      <c r="H96" s="344"/>
      <c r="I96" s="344"/>
      <c r="J96" s="344"/>
      <c r="K96" s="215"/>
      <c r="L96" s="49"/>
    </row>
    <row r="97" spans="1:12" ht="16.5" customHeight="1" x14ac:dyDescent="0.25">
      <c r="A97" s="344"/>
      <c r="B97" s="1883" t="s">
        <v>350</v>
      </c>
      <c r="C97" s="1883"/>
      <c r="D97" s="1305"/>
      <c r="E97" s="344"/>
      <c r="F97" s="344"/>
      <c r="G97" s="344"/>
      <c r="H97" s="344"/>
      <c r="I97" s="344"/>
      <c r="J97" s="344"/>
      <c r="K97" s="217"/>
      <c r="L97" s="50"/>
    </row>
    <row r="98" spans="1:12" ht="16.5" customHeight="1" x14ac:dyDescent="0.25">
      <c r="A98" s="344"/>
      <c r="B98" s="1883" t="s">
        <v>351</v>
      </c>
      <c r="C98" s="1883"/>
      <c r="D98" s="1305"/>
      <c r="E98" s="344"/>
      <c r="F98" s="344"/>
      <c r="G98" s="344"/>
      <c r="H98" s="344"/>
      <c r="I98" s="344"/>
      <c r="J98" s="344"/>
      <c r="K98" s="217"/>
      <c r="L98" s="50"/>
    </row>
    <row r="99" spans="1:12" x14ac:dyDescent="0.25">
      <c r="A99" s="344"/>
      <c r="B99" s="344"/>
      <c r="C99" s="344"/>
      <c r="D99" s="344"/>
      <c r="E99" s="344"/>
      <c r="F99" s="344"/>
      <c r="G99" s="344"/>
      <c r="H99" s="344"/>
      <c r="I99" s="344"/>
      <c r="J99" s="344"/>
      <c r="K99" s="217"/>
      <c r="L99" s="50"/>
    </row>
    <row r="100" spans="1:12" ht="18.75" customHeight="1" x14ac:dyDescent="0.25">
      <c r="A100" s="344"/>
      <c r="B100" s="1882" t="s">
        <v>719</v>
      </c>
      <c r="C100" s="1882"/>
      <c r="D100" s="1882"/>
      <c r="E100" s="71">
        <f>IF(OR(D97=0,D98=0),0,1-D97/D98)</f>
        <v>0</v>
      </c>
      <c r="F100" s="344"/>
      <c r="G100" s="344"/>
      <c r="H100" s="344"/>
      <c r="I100" s="344"/>
      <c r="J100" s="344"/>
      <c r="K100" s="217"/>
      <c r="L100" s="50"/>
    </row>
    <row r="101" spans="1:12" ht="19.5" customHeight="1" x14ac:dyDescent="0.25">
      <c r="A101" s="344"/>
      <c r="B101" s="344"/>
      <c r="C101" s="344"/>
      <c r="D101" s="344"/>
      <c r="E101" s="344"/>
      <c r="F101" s="344"/>
      <c r="G101" s="344"/>
      <c r="H101" s="344"/>
      <c r="I101" s="344"/>
      <c r="J101" s="344"/>
      <c r="K101" s="217"/>
      <c r="L101" s="50"/>
    </row>
    <row r="102" spans="1:12" ht="16.5" customHeight="1" x14ac:dyDescent="0.25">
      <c r="A102" s="1877" t="s">
        <v>186</v>
      </c>
      <c r="B102" s="1877"/>
      <c r="C102" s="1877"/>
      <c r="D102" s="344"/>
      <c r="E102" s="344"/>
      <c r="F102" s="344"/>
      <c r="G102" s="344"/>
      <c r="H102" s="344"/>
      <c r="I102" s="344"/>
      <c r="J102" s="344"/>
      <c r="K102" s="217"/>
      <c r="L102" s="50"/>
    </row>
    <row r="103" spans="1:12" ht="15" customHeight="1" x14ac:dyDescent="0.25">
      <c r="A103" s="344"/>
      <c r="B103" s="344"/>
      <c r="C103" s="344"/>
      <c r="D103" s="344"/>
      <c r="E103" s="344"/>
      <c r="F103" s="344"/>
      <c r="G103" s="344"/>
      <c r="H103" s="344"/>
      <c r="I103" s="344"/>
      <c r="J103" s="344"/>
      <c r="K103" s="217"/>
      <c r="L103" s="50"/>
    </row>
    <row r="104" spans="1:12" ht="18" customHeight="1" x14ac:dyDescent="0.25">
      <c r="A104" s="344"/>
      <c r="B104" s="1880" t="s">
        <v>1739</v>
      </c>
      <c r="C104" s="1881"/>
      <c r="D104" s="1881"/>
      <c r="E104" s="1881"/>
      <c r="F104" s="1881"/>
      <c r="G104" s="935" t="s">
        <v>1737</v>
      </c>
      <c r="H104" s="1878" t="s">
        <v>1738</v>
      </c>
      <c r="I104" s="1879"/>
      <c r="J104" s="344"/>
      <c r="K104" s="215"/>
    </row>
    <row r="105" spans="1:12" ht="30" customHeight="1" x14ac:dyDescent="0.25">
      <c r="A105" s="344"/>
      <c r="B105" s="1576" t="s">
        <v>1069</v>
      </c>
      <c r="C105" s="1577"/>
      <c r="D105" s="1577"/>
      <c r="E105" s="1577"/>
      <c r="F105" s="1577"/>
      <c r="G105" s="565" t="s">
        <v>124</v>
      </c>
      <c r="H105" s="1587"/>
      <c r="I105" s="1588"/>
      <c r="J105" s="344"/>
      <c r="K105" s="215"/>
    </row>
    <row r="106" spans="1:12" ht="27" customHeight="1" x14ac:dyDescent="0.25">
      <c r="A106" s="344"/>
      <c r="B106" s="1576" t="s">
        <v>1522</v>
      </c>
      <c r="C106" s="1577"/>
      <c r="D106" s="1577"/>
      <c r="E106" s="1577"/>
      <c r="F106" s="1577"/>
      <c r="G106" s="809" t="s">
        <v>124</v>
      </c>
      <c r="H106" s="1587"/>
      <c r="I106" s="1588"/>
      <c r="J106" s="344"/>
      <c r="K106" s="215"/>
    </row>
    <row r="107" spans="1:12" ht="18.75" customHeight="1" x14ac:dyDescent="0.25">
      <c r="A107" s="344"/>
      <c r="B107" s="344"/>
      <c r="C107" s="344"/>
      <c r="D107" s="344"/>
      <c r="E107" s="344"/>
      <c r="F107" s="344"/>
      <c r="G107" s="344"/>
      <c r="H107" s="344"/>
      <c r="I107" s="344"/>
      <c r="J107" s="344"/>
      <c r="K107" s="217"/>
      <c r="L107" s="50"/>
    </row>
    <row r="108" spans="1:12" ht="16.5" customHeight="1" x14ac:dyDescent="0.25">
      <c r="A108" s="1877" t="s">
        <v>22</v>
      </c>
      <c r="B108" s="1877"/>
      <c r="C108" s="1877"/>
      <c r="D108" s="344"/>
      <c r="E108" s="344"/>
      <c r="F108" s="344"/>
      <c r="G108" s="344"/>
      <c r="H108" s="344"/>
      <c r="I108" s="344"/>
      <c r="J108" s="344"/>
      <c r="K108" s="217"/>
      <c r="L108" s="50"/>
    </row>
    <row r="109" spans="1:12" x14ac:dyDescent="0.25">
      <c r="A109" s="344"/>
      <c r="B109" s="344"/>
      <c r="C109" s="344"/>
      <c r="D109" s="344"/>
      <c r="E109" s="344"/>
      <c r="F109" s="344"/>
      <c r="G109" s="344"/>
      <c r="H109" s="344"/>
      <c r="I109" s="344"/>
      <c r="J109" s="344"/>
      <c r="K109" s="215"/>
      <c r="L109" s="49"/>
    </row>
    <row r="110" spans="1:12" ht="18" customHeight="1" x14ac:dyDescent="0.25">
      <c r="A110" s="344"/>
      <c r="B110" s="179" t="s">
        <v>53</v>
      </c>
      <c r="C110" s="10" t="str">
        <f>IF(D11="Performance Path",IF(E100&gt;=0.4,5,IF(E100&gt;=0.35,4,IF(E100&gt;=0.3,3,IF(E100&gt;=0.25,2,IF(E100&gt;=0.2,1,0))))),"")</f>
        <v/>
      </c>
      <c r="D110" s="344"/>
      <c r="E110" s="344"/>
      <c r="F110" s="344"/>
      <c r="G110" s="344"/>
      <c r="H110" s="344"/>
      <c r="I110" s="344"/>
      <c r="J110" s="344"/>
      <c r="K110" s="215"/>
      <c r="L110" s="49"/>
    </row>
    <row r="111" spans="1:12" ht="18" customHeight="1" collapsed="1" x14ac:dyDescent="0.25">
      <c r="A111" s="344"/>
      <c r="B111" s="186" t="s">
        <v>492</v>
      </c>
      <c r="C111" s="10" t="str">
        <f>IF(D11="Performance Path",IF(AND(COUNTIF(G105:G106,"Submitted")=2,C110&gt;0),"Yes","No"),"")</f>
        <v/>
      </c>
      <c r="D111" s="344"/>
      <c r="E111" s="344"/>
      <c r="F111" s="344"/>
      <c r="G111" s="344"/>
      <c r="H111" s="344"/>
      <c r="I111" s="344"/>
      <c r="J111" s="344"/>
      <c r="K111" s="215"/>
      <c r="L111" s="49"/>
    </row>
    <row r="112" spans="1:12" ht="18.75" customHeight="1" x14ac:dyDescent="0.25">
      <c r="A112" s="344"/>
      <c r="B112" s="344"/>
      <c r="C112" s="344"/>
      <c r="D112" s="344"/>
      <c r="E112" s="344"/>
      <c r="F112" s="344"/>
      <c r="G112" s="344"/>
      <c r="H112" s="344"/>
      <c r="I112" s="344"/>
      <c r="J112" s="344"/>
      <c r="K112" s="217"/>
      <c r="L112" s="50"/>
    </row>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spans="1:1" hidden="1" x14ac:dyDescent="0.25"/>
    <row r="210" spans="1:1" hidden="1" x14ac:dyDescent="0.25"/>
    <row r="211" spans="1:1" hidden="1" x14ac:dyDescent="0.25"/>
    <row r="212" spans="1:1" hidden="1" x14ac:dyDescent="0.25"/>
    <row r="213" spans="1:1" hidden="1" x14ac:dyDescent="0.25"/>
    <row r="214" spans="1:1" hidden="1" x14ac:dyDescent="0.25"/>
    <row r="215" spans="1:1" hidden="1" x14ac:dyDescent="0.25">
      <c r="A215" s="217"/>
    </row>
    <row r="216" spans="1:1" hidden="1" x14ac:dyDescent="0.25"/>
    <row r="217" spans="1:1" hidden="1" x14ac:dyDescent="0.25"/>
    <row r="218" spans="1:1" hidden="1" x14ac:dyDescent="0.25"/>
    <row r="219" spans="1:1" hidden="1" x14ac:dyDescent="0.25"/>
    <row r="220" spans="1:1" hidden="1" x14ac:dyDescent="0.25"/>
    <row r="221" spans="1:1" hidden="1" x14ac:dyDescent="0.25"/>
    <row r="222" spans="1:1" hidden="1" x14ac:dyDescent="0.25"/>
    <row r="223" spans="1:1" hidden="1" x14ac:dyDescent="0.25"/>
    <row r="224" spans="1:1"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sheetData>
  <sheetProtection algorithmName="SHA-512" hashValue="4QkUfpk6QXZINEWnoltEh1BbUpRCpnJJYCz/0WXNmXCL/OH5vavUfHAto7OH2TcTShcVi+1liDIOZWrap9RoQg==" saltValue="z5rfks5dZGX2hyZ0CMlg9Q==" spinCount="100000" sheet="1" objects="1" scenarios="1"/>
  <mergeCells count="87">
    <mergeCell ref="A5:J7"/>
    <mergeCell ref="F39:F40"/>
    <mergeCell ref="G14:G16"/>
    <mergeCell ref="H14:H16"/>
    <mergeCell ref="G39:G40"/>
    <mergeCell ref="A9:J9"/>
    <mergeCell ref="I14:I16"/>
    <mergeCell ref="B20:F20"/>
    <mergeCell ref="H2:I4"/>
    <mergeCell ref="D11:E11"/>
    <mergeCell ref="B11:C11"/>
    <mergeCell ref="B49:C49"/>
    <mergeCell ref="B50:C50"/>
    <mergeCell ref="B43:B44"/>
    <mergeCell ref="C43:C44"/>
    <mergeCell ref="D49:E49"/>
    <mergeCell ref="D50:E50"/>
    <mergeCell ref="B14:F14"/>
    <mergeCell ref="B13:F13"/>
    <mergeCell ref="B15:F15"/>
    <mergeCell ref="B16:F16"/>
    <mergeCell ref="B19:F19"/>
    <mergeCell ref="G43:G44"/>
    <mergeCell ref="G45:G46"/>
    <mergeCell ref="G41:G42"/>
    <mergeCell ref="A22:J22"/>
    <mergeCell ref="B32:G32"/>
    <mergeCell ref="B29:G29"/>
    <mergeCell ref="B31:G31"/>
    <mergeCell ref="B28:G28"/>
    <mergeCell ref="A24:C24"/>
    <mergeCell ref="A35:C35"/>
    <mergeCell ref="B37:F37"/>
    <mergeCell ref="B30:G30"/>
    <mergeCell ref="B63:C63"/>
    <mergeCell ref="D63:E63"/>
    <mergeCell ref="B61:C61"/>
    <mergeCell ref="D61:E61"/>
    <mergeCell ref="B62:C62"/>
    <mergeCell ref="D62:E62"/>
    <mergeCell ref="D58:E58"/>
    <mergeCell ref="D39:E40"/>
    <mergeCell ref="B45:B46"/>
    <mergeCell ref="C45:C46"/>
    <mergeCell ref="B41:B42"/>
    <mergeCell ref="C41:C42"/>
    <mergeCell ref="D56:E56"/>
    <mergeCell ref="B52:C52"/>
    <mergeCell ref="B76:F76"/>
    <mergeCell ref="B77:F77"/>
    <mergeCell ref="B79:F79"/>
    <mergeCell ref="B39:C39"/>
    <mergeCell ref="A68:C68"/>
    <mergeCell ref="B57:C57"/>
    <mergeCell ref="D57:E57"/>
    <mergeCell ref="B55:C55"/>
    <mergeCell ref="D55:E55"/>
    <mergeCell ref="D64:E64"/>
    <mergeCell ref="B64:C64"/>
    <mergeCell ref="D52:E52"/>
    <mergeCell ref="B51:C51"/>
    <mergeCell ref="D51:E51"/>
    <mergeCell ref="B56:C56"/>
    <mergeCell ref="B58:C58"/>
    <mergeCell ref="A108:C108"/>
    <mergeCell ref="A86:C86"/>
    <mergeCell ref="B100:D100"/>
    <mergeCell ref="B98:C98"/>
    <mergeCell ref="B78:F78"/>
    <mergeCell ref="A90:C90"/>
    <mergeCell ref="A84:J84"/>
    <mergeCell ref="B95:G95"/>
    <mergeCell ref="B105:F105"/>
    <mergeCell ref="B106:F106"/>
    <mergeCell ref="B104:F104"/>
    <mergeCell ref="H104:I104"/>
    <mergeCell ref="H105:I105"/>
    <mergeCell ref="H106:I106"/>
    <mergeCell ref="B97:C97"/>
    <mergeCell ref="A102:C102"/>
    <mergeCell ref="A74:C74"/>
    <mergeCell ref="H70:I70"/>
    <mergeCell ref="B71:F71"/>
    <mergeCell ref="B72:F72"/>
    <mergeCell ref="H71:I71"/>
    <mergeCell ref="H72:I72"/>
    <mergeCell ref="B70:F70"/>
  </mergeCells>
  <dataValidations disablePrompts="1" count="3">
    <dataValidation type="list" allowBlank="1" showInputMessage="1" showErrorMessage="1" sqref="D11" xr:uid="{00000000-0002-0000-1500-000000000000}">
      <formula1>"Select,Prescriptive Path, Performance Path"</formula1>
    </dataValidation>
    <dataValidation type="list" allowBlank="1" showInputMessage="1" showErrorMessage="1" sqref="C41:C46" xr:uid="{00000000-0002-0000-1500-000001000000}">
      <formula1>"Select,Single Flush, Dual Flush"</formula1>
    </dataValidation>
    <dataValidation type="list" allowBlank="1" showInputMessage="1" showErrorMessage="1" sqref="G105:G106 G71:G72" xr:uid="{00000000-0002-0000-1500-000002000000}">
      <formula1>"Select,Submitted,Not submitted"</formula1>
    </dataValidation>
  </dataValidations>
  <hyperlinks>
    <hyperlink ref="J2" location="'W-2 Water Efficient Landscaping'!E3" tooltip="W-2" display="W-2" xr:uid="{00000000-0004-0000-1500-000000000000}"/>
    <hyperlink ref="J4" location="'Water BPC'!D3" tooltip="BPC" display="BPC" xr:uid="{00000000-0004-0000-1500-000001000000}"/>
    <hyperlink ref="J3" location="'W-3 Drinking Water '!B3" tooltip="W-3" display="W-3" xr:uid="{00000000-0004-0000-1500-000002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rgb="FF0563C1"/>
  </sheetPr>
  <dimension ref="A1:AH305"/>
  <sheetViews>
    <sheetView showRowColHeaders="0" zoomScaleNormal="100" workbookViewId="0">
      <pane ySplit="8" topLeftCell="A9" activePane="bottomLeft" state="frozen"/>
      <selection pane="bottomLeft" activeCell="A9" sqref="A9:P9"/>
    </sheetView>
  </sheetViews>
  <sheetFormatPr defaultColWidth="0" defaultRowHeight="15" customHeight="1" zeroHeight="1" x14ac:dyDescent="0.25"/>
  <cols>
    <col min="1" max="1" width="5" style="38" customWidth="1"/>
    <col min="2" max="2" width="18.7109375" style="38" customWidth="1"/>
    <col min="3" max="15" width="11.85546875" style="38" customWidth="1"/>
    <col min="16" max="16" width="9.140625" style="38" customWidth="1"/>
    <col min="17" max="34" width="0" style="38" hidden="1" customWidth="1"/>
    <col min="35" max="16384" width="9.140625" style="38" hidden="1"/>
  </cols>
  <sheetData>
    <row r="1" spans="1:17" ht="23.25" x14ac:dyDescent="0.25">
      <c r="A1" s="189" t="s">
        <v>33</v>
      </c>
      <c r="B1" s="218"/>
      <c r="C1" s="218"/>
      <c r="D1" s="218"/>
      <c r="E1" s="218"/>
      <c r="F1" s="218"/>
      <c r="G1" s="62"/>
      <c r="H1" s="62"/>
      <c r="I1" s="62"/>
      <c r="J1" s="62"/>
      <c r="K1" s="62"/>
      <c r="L1" s="62"/>
      <c r="M1" s="109"/>
      <c r="N1" s="109"/>
      <c r="O1" s="109"/>
      <c r="P1" s="109"/>
    </row>
    <row r="2" spans="1:17" ht="15" customHeight="1" x14ac:dyDescent="0.25">
      <c r="A2" s="50"/>
      <c r="B2" s="50"/>
      <c r="C2" s="50"/>
      <c r="D2" s="50"/>
      <c r="E2" s="50"/>
      <c r="F2" s="50"/>
      <c r="G2" s="49"/>
      <c r="H2" s="49"/>
      <c r="I2" s="49"/>
      <c r="J2" s="49"/>
      <c r="K2" s="49"/>
      <c r="L2" s="49"/>
      <c r="M2" s="49"/>
      <c r="N2" s="1585" t="s">
        <v>504</v>
      </c>
      <c r="O2" s="1585"/>
      <c r="P2" s="216" t="s">
        <v>85</v>
      </c>
    </row>
    <row r="3" spans="1:17" ht="15" customHeight="1" x14ac:dyDescent="0.25">
      <c r="A3" s="50"/>
      <c r="B3" s="50"/>
      <c r="C3" s="50"/>
      <c r="D3" s="50"/>
      <c r="E3" s="50"/>
      <c r="F3" s="50"/>
      <c r="G3" s="49"/>
      <c r="H3" s="49"/>
      <c r="I3" s="49"/>
      <c r="J3" s="49"/>
      <c r="K3" s="49"/>
      <c r="L3" s="49"/>
      <c r="M3" s="49"/>
      <c r="N3" s="1585"/>
      <c r="O3" s="1585"/>
      <c r="P3" s="216" t="s">
        <v>94</v>
      </c>
    </row>
    <row r="4" spans="1:17" ht="15" customHeight="1" x14ac:dyDescent="0.25">
      <c r="A4" s="50"/>
      <c r="B4" s="50"/>
      <c r="C4" s="50"/>
      <c r="D4" s="50"/>
      <c r="E4" s="50"/>
      <c r="F4" s="50"/>
      <c r="G4" s="49"/>
      <c r="H4" s="49"/>
      <c r="I4" s="49"/>
      <c r="J4" s="49"/>
      <c r="K4" s="49"/>
      <c r="L4" s="49"/>
      <c r="M4" s="49"/>
      <c r="N4" s="1586"/>
      <c r="O4" s="1586"/>
      <c r="P4" s="216" t="s">
        <v>76</v>
      </c>
    </row>
    <row r="5" spans="1:17" ht="21.75" customHeight="1" x14ac:dyDescent="0.25">
      <c r="A5" s="1600" t="s">
        <v>2513</v>
      </c>
      <c r="B5" s="1601"/>
      <c r="C5" s="1601"/>
      <c r="D5" s="1601"/>
      <c r="E5" s="1601"/>
      <c r="F5" s="1601"/>
      <c r="G5" s="1601"/>
      <c r="H5" s="1601"/>
      <c r="I5" s="1601"/>
      <c r="J5" s="1601"/>
      <c r="K5" s="1601"/>
      <c r="L5" s="1601"/>
      <c r="M5" s="1601"/>
      <c r="N5" s="1601"/>
      <c r="O5" s="1601"/>
      <c r="P5" s="1602"/>
    </row>
    <row r="6" spans="1:17" ht="21.75" customHeight="1" x14ac:dyDescent="0.25">
      <c r="A6" s="1603"/>
      <c r="B6" s="1604"/>
      <c r="C6" s="1604"/>
      <c r="D6" s="1604"/>
      <c r="E6" s="1604"/>
      <c r="F6" s="1604"/>
      <c r="G6" s="1604"/>
      <c r="H6" s="1604"/>
      <c r="I6" s="1604"/>
      <c r="J6" s="1604"/>
      <c r="K6" s="1604"/>
      <c r="L6" s="1604"/>
      <c r="M6" s="1604"/>
      <c r="N6" s="1604"/>
      <c r="O6" s="1604"/>
      <c r="P6" s="1605"/>
    </row>
    <row r="7" spans="1:17" ht="21.75" customHeight="1" x14ac:dyDescent="0.25">
      <c r="A7" s="1606"/>
      <c r="B7" s="1607"/>
      <c r="C7" s="1607"/>
      <c r="D7" s="1607"/>
      <c r="E7" s="1607"/>
      <c r="F7" s="1607"/>
      <c r="G7" s="1607"/>
      <c r="H7" s="1607"/>
      <c r="I7" s="1607"/>
      <c r="J7" s="1607"/>
      <c r="K7" s="1607"/>
      <c r="L7" s="1607"/>
      <c r="M7" s="1607"/>
      <c r="N7" s="1607"/>
      <c r="O7" s="1607"/>
      <c r="P7" s="1608"/>
    </row>
    <row r="8" spans="1:17" ht="12" customHeight="1" x14ac:dyDescent="0.25">
      <c r="A8" s="49"/>
      <c r="B8" s="50"/>
      <c r="C8" s="50"/>
      <c r="D8" s="50"/>
      <c r="E8" s="50"/>
      <c r="F8" s="49"/>
      <c r="G8" s="49"/>
      <c r="H8" s="49"/>
      <c r="I8" s="49"/>
      <c r="J8" s="49"/>
      <c r="K8" s="49"/>
      <c r="L8" s="49"/>
      <c r="M8" s="49"/>
      <c r="N8" s="49"/>
      <c r="O8" s="49"/>
      <c r="P8" s="49"/>
    </row>
    <row r="9" spans="1:17" ht="18" customHeight="1" x14ac:dyDescent="0.25">
      <c r="A9" s="1885" t="s">
        <v>352</v>
      </c>
      <c r="B9" s="1885"/>
      <c r="C9" s="1885"/>
      <c r="D9" s="1885"/>
      <c r="E9" s="1885"/>
      <c r="F9" s="1885"/>
      <c r="G9" s="1885"/>
      <c r="H9" s="1885"/>
      <c r="I9" s="1885"/>
      <c r="J9" s="1885"/>
      <c r="K9" s="1885"/>
      <c r="L9" s="1885"/>
      <c r="M9" s="1885"/>
      <c r="N9" s="1885"/>
      <c r="O9" s="1885"/>
      <c r="P9" s="1885"/>
    </row>
    <row r="10" spans="1:17" x14ac:dyDescent="0.25">
      <c r="A10" s="49"/>
      <c r="B10" s="49"/>
      <c r="C10" s="49"/>
      <c r="D10" s="49"/>
      <c r="E10" s="49"/>
      <c r="F10" s="49"/>
      <c r="G10" s="49"/>
      <c r="H10" s="49"/>
      <c r="I10" s="49"/>
      <c r="J10" s="49"/>
      <c r="K10" s="49"/>
      <c r="L10" s="49"/>
      <c r="M10" s="49"/>
      <c r="N10" s="49"/>
      <c r="O10" s="49"/>
      <c r="P10" s="49"/>
    </row>
    <row r="11" spans="1:17" ht="16.5" customHeight="1" x14ac:dyDescent="0.25">
      <c r="A11" s="49"/>
      <c r="B11" s="1910" t="s">
        <v>232</v>
      </c>
      <c r="C11" s="1910"/>
      <c r="D11" s="1910"/>
      <c r="E11" s="1909" t="s">
        <v>124</v>
      </c>
      <c r="F11" s="1909"/>
      <c r="G11" s="49"/>
      <c r="H11" s="49"/>
      <c r="I11" s="49"/>
      <c r="J11" s="49"/>
      <c r="K11" s="49"/>
      <c r="L11" s="49"/>
      <c r="M11" s="49"/>
      <c r="N11" s="49"/>
      <c r="O11" s="49"/>
      <c r="P11" s="49"/>
    </row>
    <row r="12" spans="1:17" x14ac:dyDescent="0.25">
      <c r="A12" s="49"/>
      <c r="B12" s="49"/>
      <c r="C12" s="396"/>
      <c r="D12" s="396"/>
      <c r="E12" s="396"/>
      <c r="F12" s="396"/>
      <c r="G12" s="396"/>
      <c r="H12" s="396"/>
      <c r="I12" s="49"/>
      <c r="J12" s="49"/>
      <c r="K12" s="49"/>
      <c r="L12" s="49"/>
      <c r="M12" s="49"/>
      <c r="N12" s="49"/>
      <c r="O12" s="49"/>
      <c r="P12" s="49"/>
    </row>
    <row r="13" spans="1:17" ht="18" customHeight="1" x14ac:dyDescent="0.25">
      <c r="A13" s="49"/>
      <c r="B13" s="1933" t="s">
        <v>193</v>
      </c>
      <c r="C13" s="1945"/>
      <c r="D13" s="1945"/>
      <c r="E13" s="1945"/>
      <c r="F13" s="1945"/>
      <c r="G13" s="1945"/>
      <c r="H13" s="1935" t="s">
        <v>152</v>
      </c>
      <c r="I13" s="1936"/>
      <c r="J13" s="1935" t="s">
        <v>53</v>
      </c>
      <c r="K13" s="1936"/>
      <c r="L13" s="1935" t="s">
        <v>492</v>
      </c>
      <c r="M13" s="1937"/>
      <c r="N13" s="49"/>
      <c r="O13" s="49"/>
      <c r="P13" s="49"/>
    </row>
    <row r="14" spans="1:17" ht="25.5" customHeight="1" x14ac:dyDescent="0.25">
      <c r="A14" s="49"/>
      <c r="B14" s="1938" t="s">
        <v>984</v>
      </c>
      <c r="C14" s="1939"/>
      <c r="D14" s="1939"/>
      <c r="E14" s="1939"/>
      <c r="F14" s="1939"/>
      <c r="G14" s="1940"/>
      <c r="H14" s="1921">
        <v>1</v>
      </c>
      <c r="I14" s="1921"/>
      <c r="J14" s="1921" t="str">
        <f>IF(E11="Prescriptive Path",C64,"/")</f>
        <v>/</v>
      </c>
      <c r="K14" s="1921"/>
      <c r="L14" s="1921" t="str">
        <f>IF(E11="Prescriptive Path",C65,"/")</f>
        <v>/</v>
      </c>
      <c r="M14" s="1921"/>
      <c r="N14" s="49"/>
      <c r="O14" s="49"/>
      <c r="P14" s="49"/>
      <c r="Q14" s="38" t="str">
        <f>IF(J14&lt;&gt;0,IF(L14="No","No","Yes"),"Yes")</f>
        <v>Yes</v>
      </c>
    </row>
    <row r="15" spans="1:17" ht="28.5" customHeight="1" x14ac:dyDescent="0.25">
      <c r="A15" s="49"/>
      <c r="B15" s="1942" t="s">
        <v>985</v>
      </c>
      <c r="C15" s="1943"/>
      <c r="D15" s="1943"/>
      <c r="E15" s="1943"/>
      <c r="F15" s="1943"/>
      <c r="G15" s="1944"/>
      <c r="H15" s="1707">
        <v>1</v>
      </c>
      <c r="I15" s="1707"/>
      <c r="J15" s="1707" t="str">
        <f>IF(E11="Prescriptive Path",C89,"/")</f>
        <v>/</v>
      </c>
      <c r="K15" s="1707"/>
      <c r="L15" s="1707" t="str">
        <f>IF(E11="Prescriptive Path",C90,"/")</f>
        <v>/</v>
      </c>
      <c r="M15" s="1707"/>
      <c r="N15" s="49"/>
      <c r="O15" s="49"/>
      <c r="P15" s="49"/>
      <c r="Q15" s="38" t="str">
        <f>IF(J15&lt;&gt;0,IF(L15="No","No","Yes"),"Yes")</f>
        <v>Yes</v>
      </c>
    </row>
    <row r="16" spans="1:17" ht="19.5" customHeight="1" x14ac:dyDescent="0.25">
      <c r="A16" s="49"/>
      <c r="B16" s="1926" t="s">
        <v>79</v>
      </c>
      <c r="C16" s="1927"/>
      <c r="D16" s="1927"/>
      <c r="E16" s="1927"/>
      <c r="F16" s="1927"/>
      <c r="G16" s="1928"/>
      <c r="H16" s="1923">
        <v>2</v>
      </c>
      <c r="I16" s="1924"/>
      <c r="J16" s="1923" t="str">
        <f>IF(E11="Prescriptive Path",MIN(4,SUM(J14:K15)),"")</f>
        <v/>
      </c>
      <c r="K16" s="1925"/>
      <c r="L16" s="1923" t="str">
        <f>IF(E11="Prescriptive Path",IF(COUNTIF(L14:M15,"No")=2,"No",IF(COUNTIF(Q14:Q15,"Yes")=2,"Yes","No")),"")</f>
        <v/>
      </c>
      <c r="M16" s="1924"/>
      <c r="N16" s="443"/>
      <c r="O16" s="49"/>
      <c r="P16" s="49"/>
    </row>
    <row r="17" spans="1:16" ht="16.5" customHeight="1" x14ac:dyDescent="0.25">
      <c r="A17" s="49"/>
      <c r="B17" s="49"/>
      <c r="C17" s="49"/>
      <c r="D17" s="49"/>
      <c r="E17" s="49"/>
      <c r="F17" s="49"/>
      <c r="G17" s="49"/>
      <c r="H17" s="49"/>
      <c r="I17" s="49"/>
      <c r="J17" s="49"/>
      <c r="K17" s="49"/>
      <c r="L17" s="49"/>
      <c r="M17" s="49"/>
      <c r="N17" s="49"/>
      <c r="O17" s="49"/>
      <c r="P17" s="49"/>
    </row>
    <row r="18" spans="1:16" ht="18" customHeight="1" x14ac:dyDescent="0.25">
      <c r="A18" s="49"/>
      <c r="B18" s="1933" t="s">
        <v>192</v>
      </c>
      <c r="C18" s="1934"/>
      <c r="D18" s="1934"/>
      <c r="E18" s="1934"/>
      <c r="F18" s="1934"/>
      <c r="G18" s="1934"/>
      <c r="H18" s="1935" t="s">
        <v>152</v>
      </c>
      <c r="I18" s="1936"/>
      <c r="J18" s="1935" t="s">
        <v>53</v>
      </c>
      <c r="K18" s="1936"/>
      <c r="L18" s="1935" t="s">
        <v>492</v>
      </c>
      <c r="M18" s="1937"/>
      <c r="N18" s="49"/>
      <c r="O18" s="49"/>
      <c r="P18" s="49"/>
    </row>
    <row r="19" spans="1:16" ht="54" customHeight="1" x14ac:dyDescent="0.25">
      <c r="A19" s="49"/>
      <c r="B19" s="1938" t="s">
        <v>153</v>
      </c>
      <c r="C19" s="1939"/>
      <c r="D19" s="1939"/>
      <c r="E19" s="1939"/>
      <c r="F19" s="1939"/>
      <c r="G19" s="1940"/>
      <c r="H19" s="1921">
        <v>2</v>
      </c>
      <c r="I19" s="1921"/>
      <c r="J19" s="1921" t="str">
        <f>IF(E11="Performance Path",C145,"/")</f>
        <v>/</v>
      </c>
      <c r="K19" s="1921"/>
      <c r="L19" s="1921" t="str">
        <f>IF(E11="Performance Path",C146,"/")</f>
        <v>/</v>
      </c>
      <c r="M19" s="1921"/>
      <c r="N19" s="49"/>
      <c r="O19" s="49"/>
      <c r="P19" s="49"/>
    </row>
    <row r="20" spans="1:16" ht="16.5" customHeight="1" x14ac:dyDescent="0.25">
      <c r="A20" s="49"/>
      <c r="B20" s="49"/>
      <c r="C20" s="49"/>
      <c r="D20" s="49"/>
      <c r="E20" s="49"/>
      <c r="F20" s="49"/>
      <c r="G20" s="49"/>
      <c r="H20" s="49"/>
      <c r="I20" s="49"/>
      <c r="J20" s="49"/>
      <c r="K20" s="49"/>
      <c r="L20" s="49"/>
      <c r="M20" s="49"/>
      <c r="N20" s="49"/>
      <c r="O20" s="49"/>
      <c r="P20" s="49"/>
    </row>
    <row r="21" spans="1:16" ht="18" customHeight="1" x14ac:dyDescent="0.25">
      <c r="A21" s="1885" t="s">
        <v>16</v>
      </c>
      <c r="B21" s="1885"/>
      <c r="C21" s="1885"/>
      <c r="D21" s="1885"/>
      <c r="E21" s="1885"/>
      <c r="F21" s="1885"/>
      <c r="G21" s="1885"/>
      <c r="H21" s="1885"/>
      <c r="I21" s="1885"/>
      <c r="J21" s="1885"/>
      <c r="K21" s="1885"/>
      <c r="L21" s="1885"/>
      <c r="M21" s="1885"/>
      <c r="N21" s="1885"/>
      <c r="O21" s="1885"/>
      <c r="P21" s="1885"/>
    </row>
    <row r="22" spans="1:16" ht="16.5" customHeight="1" x14ac:dyDescent="0.25">
      <c r="A22" s="190"/>
      <c r="B22" s="190"/>
      <c r="C22" s="190"/>
      <c r="D22" s="190"/>
      <c r="E22" s="190"/>
      <c r="F22" s="190"/>
      <c r="G22" s="190"/>
      <c r="H22" s="190"/>
      <c r="I22" s="190"/>
      <c r="J22" s="190"/>
      <c r="K22" s="190"/>
      <c r="L22" s="197"/>
      <c r="M22" s="197"/>
      <c r="N22" s="197"/>
      <c r="O22" s="197"/>
      <c r="P22" s="197"/>
    </row>
    <row r="23" spans="1:16" ht="18" customHeight="1" x14ac:dyDescent="0.25">
      <c r="A23" s="1877" t="s">
        <v>982</v>
      </c>
      <c r="B23" s="1877"/>
      <c r="C23" s="1877"/>
      <c r="D23" s="1877"/>
      <c r="E23" s="1877"/>
      <c r="F23" s="1877"/>
      <c r="G23" s="1877"/>
      <c r="H23" s="1877"/>
      <c r="I23" s="1877"/>
      <c r="J23" s="1877"/>
      <c r="K23" s="1877"/>
      <c r="L23" s="1877"/>
      <c r="M23" s="1877"/>
      <c r="N23" s="1877"/>
      <c r="O23" s="1877"/>
      <c r="P23" s="1877"/>
    </row>
    <row r="24" spans="1:16" ht="16.5" customHeight="1" x14ac:dyDescent="0.25">
      <c r="A24" s="190"/>
      <c r="B24" s="190"/>
      <c r="C24" s="190"/>
      <c r="D24" s="190"/>
      <c r="E24" s="190"/>
      <c r="F24" s="190"/>
      <c r="G24" s="190"/>
      <c r="H24" s="190"/>
      <c r="I24" s="190"/>
      <c r="J24" s="190"/>
      <c r="K24" s="190"/>
      <c r="L24" s="197"/>
      <c r="M24" s="197"/>
      <c r="N24" s="197"/>
      <c r="O24" s="197"/>
      <c r="P24" s="197"/>
    </row>
    <row r="25" spans="1:16" ht="16.5" customHeight="1" x14ac:dyDescent="0.25">
      <c r="A25" s="270" t="s">
        <v>245</v>
      </c>
      <c r="B25" s="65"/>
      <c r="C25" s="65"/>
      <c r="D25" s="197"/>
      <c r="E25" s="197"/>
      <c r="F25" s="197"/>
      <c r="G25" s="197"/>
      <c r="H25" s="197"/>
      <c r="I25" s="197"/>
      <c r="J25" s="197"/>
      <c r="K25" s="197"/>
      <c r="L25" s="197"/>
      <c r="M25" s="197"/>
      <c r="N25" s="197"/>
      <c r="O25" s="197"/>
      <c r="P25" s="197"/>
    </row>
    <row r="26" spans="1:16" x14ac:dyDescent="0.25">
      <c r="A26" s="197"/>
      <c r="B26" s="197"/>
      <c r="C26" s="197"/>
      <c r="D26" s="197"/>
      <c r="E26" s="197"/>
      <c r="F26" s="197"/>
      <c r="G26" s="197"/>
      <c r="H26" s="197"/>
      <c r="I26" s="197"/>
      <c r="J26" s="197"/>
      <c r="K26" s="197"/>
      <c r="L26" s="197"/>
      <c r="M26" s="197"/>
      <c r="N26" s="197"/>
      <c r="O26" s="197"/>
      <c r="P26" s="197"/>
    </row>
    <row r="27" spans="1:16" x14ac:dyDescent="0.25">
      <c r="A27" s="197"/>
      <c r="B27" s="721" t="s">
        <v>1399</v>
      </c>
      <c r="C27" s="570"/>
      <c r="D27" s="570"/>
      <c r="E27" s="570"/>
      <c r="F27" s="570"/>
      <c r="G27" s="570"/>
      <c r="H27" s="570"/>
      <c r="I27" s="570"/>
      <c r="J27" s="570"/>
      <c r="K27" s="571"/>
      <c r="L27" s="197"/>
      <c r="M27" s="197"/>
      <c r="N27" s="197"/>
      <c r="O27" s="197"/>
      <c r="P27" s="197"/>
    </row>
    <row r="28" spans="1:16" x14ac:dyDescent="0.25">
      <c r="A28" s="197"/>
      <c r="B28" s="762" t="s">
        <v>1394</v>
      </c>
      <c r="C28" s="567"/>
      <c r="D28" s="567"/>
      <c r="E28" s="567"/>
      <c r="F28" s="567"/>
      <c r="G28" s="567"/>
      <c r="H28" s="567"/>
      <c r="I28" s="567"/>
      <c r="J28" s="567"/>
      <c r="K28" s="573"/>
      <c r="L28" s="197"/>
      <c r="M28" s="197"/>
      <c r="N28" s="197"/>
      <c r="O28" s="197"/>
      <c r="P28" s="197"/>
    </row>
    <row r="29" spans="1:16" x14ac:dyDescent="0.25">
      <c r="A29" s="197"/>
      <c r="B29" s="775" t="s">
        <v>1296</v>
      </c>
      <c r="C29" s="567"/>
      <c r="D29" s="567"/>
      <c r="E29" s="567"/>
      <c r="F29" s="567"/>
      <c r="G29" s="567"/>
      <c r="H29" s="567"/>
      <c r="I29" s="567"/>
      <c r="J29" s="567"/>
      <c r="K29" s="573"/>
      <c r="L29" s="197"/>
      <c r="M29" s="197"/>
      <c r="N29" s="197"/>
      <c r="O29" s="197"/>
      <c r="P29" s="197"/>
    </row>
    <row r="30" spans="1:16" x14ac:dyDescent="0.25">
      <c r="A30" s="197"/>
      <c r="B30" s="638" t="s">
        <v>1401</v>
      </c>
      <c r="C30" s="575"/>
      <c r="D30" s="575"/>
      <c r="E30" s="575"/>
      <c r="F30" s="575"/>
      <c r="G30" s="575"/>
      <c r="H30" s="575"/>
      <c r="I30" s="575"/>
      <c r="J30" s="575"/>
      <c r="K30" s="576"/>
      <c r="L30" s="197"/>
      <c r="M30" s="197"/>
      <c r="N30" s="197"/>
      <c r="O30" s="197"/>
      <c r="P30" s="197"/>
    </row>
    <row r="31" spans="1:16" x14ac:dyDescent="0.25">
      <c r="A31" s="197"/>
      <c r="B31" s="773"/>
      <c r="C31" s="197"/>
      <c r="D31" s="197"/>
      <c r="E31" s="197"/>
      <c r="F31" s="197"/>
      <c r="G31" s="197"/>
      <c r="H31" s="197"/>
      <c r="I31" s="197"/>
      <c r="J31" s="197"/>
      <c r="K31" s="197"/>
      <c r="L31" s="197"/>
      <c r="M31" s="197"/>
      <c r="N31" s="197"/>
      <c r="O31" s="197"/>
      <c r="P31" s="197"/>
    </row>
    <row r="32" spans="1:16" x14ac:dyDescent="0.25">
      <c r="A32" s="197"/>
      <c r="B32" s="767" t="s">
        <v>1395</v>
      </c>
      <c r="C32" s="570"/>
      <c r="D32" s="570"/>
      <c r="E32" s="570"/>
      <c r="F32" s="570"/>
      <c r="G32" s="570"/>
      <c r="H32" s="570"/>
      <c r="I32" s="570"/>
      <c r="J32" s="570"/>
      <c r="K32" s="571"/>
      <c r="L32" s="197"/>
      <c r="M32" s="197"/>
      <c r="N32" s="197"/>
      <c r="O32" s="197"/>
      <c r="P32" s="197"/>
    </row>
    <row r="33" spans="1:18" x14ac:dyDescent="0.25">
      <c r="A33" s="197"/>
      <c r="B33" s="771" t="s">
        <v>917</v>
      </c>
      <c r="C33" s="567"/>
      <c r="D33" s="567"/>
      <c r="E33" s="567"/>
      <c r="F33" s="567"/>
      <c r="G33" s="567"/>
      <c r="H33" s="567"/>
      <c r="I33" s="567"/>
      <c r="J33" s="567"/>
      <c r="K33" s="573"/>
      <c r="L33" s="197"/>
      <c r="M33" s="197"/>
      <c r="N33" s="197"/>
      <c r="O33" s="197"/>
      <c r="P33" s="197"/>
    </row>
    <row r="34" spans="1:18" x14ac:dyDescent="0.25">
      <c r="A34" s="197"/>
      <c r="B34" s="771" t="s">
        <v>1400</v>
      </c>
      <c r="C34" s="567"/>
      <c r="D34" s="567"/>
      <c r="E34" s="567"/>
      <c r="F34" s="567"/>
      <c r="G34" s="567"/>
      <c r="H34" s="567"/>
      <c r="I34" s="567"/>
      <c r="J34" s="567"/>
      <c r="K34" s="573"/>
      <c r="L34" s="197"/>
      <c r="M34" s="197"/>
      <c r="N34" s="197"/>
      <c r="O34" s="197"/>
      <c r="P34" s="197"/>
    </row>
    <row r="35" spans="1:18" x14ac:dyDescent="0.25">
      <c r="A35" s="197"/>
      <c r="B35" s="762" t="s">
        <v>1402</v>
      </c>
      <c r="C35" s="567"/>
      <c r="D35" s="567"/>
      <c r="E35" s="567"/>
      <c r="F35" s="567"/>
      <c r="G35" s="567"/>
      <c r="H35" s="567"/>
      <c r="I35" s="567"/>
      <c r="J35" s="567"/>
      <c r="K35" s="573"/>
      <c r="L35" s="197"/>
      <c r="M35" s="197"/>
      <c r="N35" s="197"/>
      <c r="O35" s="197"/>
      <c r="P35" s="197"/>
    </row>
    <row r="36" spans="1:18" x14ac:dyDescent="0.25">
      <c r="A36" s="197"/>
      <c r="B36" s="771" t="s">
        <v>1396</v>
      </c>
      <c r="C36" s="567"/>
      <c r="D36" s="567"/>
      <c r="E36" s="567"/>
      <c r="F36" s="567"/>
      <c r="G36" s="567"/>
      <c r="H36" s="567"/>
      <c r="I36" s="567"/>
      <c r="J36" s="567"/>
      <c r="K36" s="573"/>
      <c r="L36" s="197"/>
      <c r="M36" s="197"/>
      <c r="N36" s="197"/>
      <c r="O36" s="197"/>
      <c r="P36" s="197"/>
    </row>
    <row r="37" spans="1:18" x14ac:dyDescent="0.25">
      <c r="A37" s="197"/>
      <c r="B37" s="771" t="s">
        <v>1397</v>
      </c>
      <c r="C37" s="567"/>
      <c r="D37" s="567"/>
      <c r="E37" s="567"/>
      <c r="F37" s="567"/>
      <c r="G37" s="567"/>
      <c r="H37" s="567"/>
      <c r="I37" s="567"/>
      <c r="J37" s="567"/>
      <c r="K37" s="573"/>
      <c r="L37" s="197"/>
      <c r="M37" s="197"/>
      <c r="N37" s="197"/>
      <c r="O37" s="197"/>
      <c r="P37" s="197"/>
    </row>
    <row r="38" spans="1:18" x14ac:dyDescent="0.25">
      <c r="A38" s="197"/>
      <c r="B38" s="774" t="s">
        <v>1398</v>
      </c>
      <c r="C38" s="575"/>
      <c r="D38" s="575"/>
      <c r="E38" s="575"/>
      <c r="F38" s="575"/>
      <c r="G38" s="575"/>
      <c r="H38" s="575"/>
      <c r="I38" s="575"/>
      <c r="J38" s="575"/>
      <c r="K38" s="576"/>
      <c r="L38" s="197"/>
      <c r="M38" s="197"/>
      <c r="N38" s="197"/>
      <c r="O38" s="197"/>
      <c r="P38" s="197"/>
    </row>
    <row r="39" spans="1:18" x14ac:dyDescent="0.25">
      <c r="A39" s="197"/>
      <c r="B39" s="197"/>
      <c r="C39" s="197"/>
      <c r="D39" s="197"/>
      <c r="E39" s="197"/>
      <c r="F39" s="197"/>
      <c r="G39" s="197"/>
      <c r="H39" s="197"/>
      <c r="I39" s="197"/>
      <c r="J39" s="197"/>
      <c r="K39" s="197"/>
      <c r="L39" s="197"/>
      <c r="M39" s="197"/>
      <c r="N39" s="197"/>
      <c r="O39" s="197"/>
      <c r="P39" s="197"/>
    </row>
    <row r="40" spans="1:18" ht="15" customHeight="1" x14ac:dyDescent="0.25">
      <c r="A40" s="197"/>
      <c r="B40" s="634" t="s">
        <v>1403</v>
      </c>
      <c r="C40" s="776"/>
      <c r="D40" s="776"/>
      <c r="E40" s="776"/>
      <c r="F40" s="776"/>
      <c r="G40" s="197"/>
      <c r="H40" s="197"/>
      <c r="I40" s="197"/>
      <c r="J40" s="197"/>
      <c r="K40" s="197"/>
      <c r="L40" s="197"/>
      <c r="M40" s="197"/>
      <c r="N40" s="197"/>
      <c r="O40" s="197"/>
      <c r="P40" s="197"/>
    </row>
    <row r="41" spans="1:18" ht="12" customHeight="1" x14ac:dyDescent="0.25">
      <c r="A41" s="197"/>
      <c r="B41" s="197"/>
      <c r="C41" s="197"/>
      <c r="D41" s="197"/>
      <c r="E41" s="197"/>
      <c r="F41" s="197"/>
      <c r="G41" s="197"/>
      <c r="H41" s="197"/>
      <c r="I41" s="197"/>
      <c r="J41" s="197"/>
      <c r="K41" s="197"/>
      <c r="L41" s="197"/>
      <c r="M41" s="197"/>
      <c r="N41" s="197"/>
      <c r="O41" s="197"/>
      <c r="P41" s="197"/>
    </row>
    <row r="42" spans="1:18" ht="17.25" customHeight="1" x14ac:dyDescent="0.25">
      <c r="A42" s="197"/>
      <c r="B42" s="1843" t="s">
        <v>1404</v>
      </c>
      <c r="C42" s="1843"/>
      <c r="D42" s="1843"/>
      <c r="E42" s="1932"/>
      <c r="F42" s="1932"/>
      <c r="G42" s="197"/>
      <c r="H42" s="197"/>
      <c r="I42" s="197"/>
      <c r="J42" s="197"/>
      <c r="K42" s="197"/>
      <c r="L42" s="197"/>
      <c r="M42" s="197"/>
      <c r="N42" s="197"/>
      <c r="O42" s="197"/>
      <c r="P42" s="197"/>
    </row>
    <row r="43" spans="1:18" ht="18" customHeight="1" x14ac:dyDescent="0.25">
      <c r="A43" s="197"/>
      <c r="B43" s="1843" t="s">
        <v>1391</v>
      </c>
      <c r="C43" s="1843"/>
      <c r="D43" s="1843"/>
      <c r="E43" s="1931" t="s">
        <v>124</v>
      </c>
      <c r="F43" s="1932"/>
      <c r="G43" s="197"/>
      <c r="H43" s="197"/>
      <c r="I43" s="197"/>
      <c r="J43" s="197"/>
      <c r="K43" s="197"/>
      <c r="L43" s="197"/>
      <c r="M43" s="197"/>
      <c r="N43" s="197"/>
      <c r="O43" s="197"/>
      <c r="P43" s="197"/>
      <c r="Q43" s="80"/>
      <c r="R43" s="80"/>
    </row>
    <row r="44" spans="1:18" ht="24.75" customHeight="1" x14ac:dyDescent="0.25">
      <c r="A44" s="197"/>
      <c r="B44" s="1843" t="s">
        <v>1392</v>
      </c>
      <c r="C44" s="1843"/>
      <c r="D44" s="1843"/>
      <c r="E44" s="1958"/>
      <c r="F44" s="1958"/>
      <c r="G44" s="1958"/>
      <c r="H44" s="1958"/>
      <c r="I44" s="1958"/>
      <c r="J44" s="1958"/>
      <c r="K44" s="1958"/>
      <c r="L44" s="1958"/>
      <c r="M44" s="1958"/>
      <c r="N44" s="197"/>
      <c r="O44" s="197"/>
      <c r="P44" s="197"/>
    </row>
    <row r="45" spans="1:18" ht="13.5" customHeight="1" x14ac:dyDescent="0.25">
      <c r="A45" s="197"/>
      <c r="B45" s="197"/>
      <c r="C45" s="197"/>
      <c r="D45" s="197"/>
      <c r="E45" s="197"/>
      <c r="F45" s="197"/>
      <c r="G45" s="197"/>
      <c r="H45" s="197"/>
      <c r="I45" s="197"/>
      <c r="J45" s="197"/>
      <c r="K45" s="197"/>
      <c r="L45" s="197"/>
      <c r="M45" s="197"/>
      <c r="N45" s="197"/>
      <c r="O45" s="197"/>
      <c r="P45" s="197"/>
    </row>
    <row r="46" spans="1:18" ht="12" customHeight="1" x14ac:dyDescent="0.25">
      <c r="A46" s="197"/>
      <c r="B46" s="885" t="s">
        <v>1565</v>
      </c>
      <c r="C46" s="197"/>
      <c r="D46" s="197"/>
      <c r="E46" s="197"/>
      <c r="F46" s="197"/>
      <c r="G46" s="197"/>
      <c r="H46" s="197"/>
      <c r="I46" s="197"/>
      <c r="J46" s="197"/>
      <c r="K46" s="197"/>
      <c r="L46" s="197"/>
      <c r="M46" s="197"/>
      <c r="N46" s="197"/>
      <c r="O46" s="197"/>
      <c r="P46" s="197"/>
    </row>
    <row r="47" spans="1:18" ht="24.75" customHeight="1" x14ac:dyDescent="0.25">
      <c r="A47" s="197"/>
      <c r="B47" s="1941" t="s">
        <v>637</v>
      </c>
      <c r="C47" s="1895"/>
      <c r="D47" s="1895"/>
      <c r="E47" s="1895" t="s">
        <v>990</v>
      </c>
      <c r="F47" s="1959"/>
      <c r="G47" s="197"/>
      <c r="H47" s="197"/>
      <c r="I47" s="197"/>
      <c r="J47" s="197"/>
      <c r="K47" s="197"/>
      <c r="L47" s="197"/>
      <c r="M47" s="197"/>
      <c r="N47" s="197"/>
      <c r="O47" s="197"/>
      <c r="P47" s="197"/>
    </row>
    <row r="48" spans="1:18" x14ac:dyDescent="0.25">
      <c r="A48" s="197"/>
      <c r="B48" s="1900"/>
      <c r="C48" s="1900"/>
      <c r="D48" s="1900"/>
      <c r="E48" s="1900" t="s">
        <v>124</v>
      </c>
      <c r="F48" s="1900"/>
      <c r="G48" s="197"/>
      <c r="H48" s="197"/>
      <c r="I48" s="197"/>
      <c r="J48" s="197"/>
      <c r="K48" s="197"/>
      <c r="L48" s="197"/>
      <c r="M48" s="197"/>
      <c r="N48" s="197"/>
      <c r="O48" s="197"/>
      <c r="P48" s="197"/>
      <c r="Q48" s="38" t="str">
        <f>IF(AND(E48&lt;&gt;"Select",E48&lt;&gt;""),"Yes","No")</f>
        <v>No</v>
      </c>
    </row>
    <row r="49" spans="1:17" x14ac:dyDescent="0.25">
      <c r="A49" s="197"/>
      <c r="B49" s="1892"/>
      <c r="C49" s="1892"/>
      <c r="D49" s="1892"/>
      <c r="E49" s="1892" t="s">
        <v>124</v>
      </c>
      <c r="F49" s="1892"/>
      <c r="G49" s="197"/>
      <c r="H49" s="197"/>
      <c r="I49" s="197"/>
      <c r="J49" s="197"/>
      <c r="K49" s="197"/>
      <c r="L49" s="197"/>
      <c r="M49" s="197"/>
      <c r="N49" s="197"/>
      <c r="O49" s="197"/>
      <c r="P49" s="197"/>
      <c r="Q49" s="38" t="str">
        <f t="shared" ref="Q49:Q54" si="0">IF(AND(E49&lt;&gt;"Select",E49&lt;&gt;""),"Yes","No")</f>
        <v>No</v>
      </c>
    </row>
    <row r="50" spans="1:17" x14ac:dyDescent="0.25">
      <c r="A50" s="197"/>
      <c r="B50" s="1892"/>
      <c r="C50" s="1892"/>
      <c r="D50" s="1892"/>
      <c r="E50" s="1892" t="s">
        <v>124</v>
      </c>
      <c r="F50" s="1892"/>
      <c r="G50" s="197"/>
      <c r="H50" s="197"/>
      <c r="I50" s="197"/>
      <c r="J50" s="197"/>
      <c r="K50" s="197"/>
      <c r="L50" s="197"/>
      <c r="M50" s="197"/>
      <c r="N50" s="197"/>
      <c r="O50" s="197"/>
      <c r="P50" s="197"/>
      <c r="Q50" s="38" t="str">
        <f t="shared" si="0"/>
        <v>No</v>
      </c>
    </row>
    <row r="51" spans="1:17" x14ac:dyDescent="0.25">
      <c r="A51" s="197"/>
      <c r="B51" s="1892"/>
      <c r="C51" s="1892"/>
      <c r="D51" s="1892"/>
      <c r="E51" s="1892" t="s">
        <v>124</v>
      </c>
      <c r="F51" s="1892"/>
      <c r="G51" s="197"/>
      <c r="H51" s="197"/>
      <c r="I51" s="197"/>
      <c r="J51" s="197"/>
      <c r="K51" s="197"/>
      <c r="L51" s="197"/>
      <c r="M51" s="197"/>
      <c r="N51" s="197"/>
      <c r="O51" s="197"/>
      <c r="P51" s="197"/>
      <c r="Q51" s="38" t="str">
        <f t="shared" si="0"/>
        <v>No</v>
      </c>
    </row>
    <row r="52" spans="1:17" x14ac:dyDescent="0.25">
      <c r="A52" s="197"/>
      <c r="B52" s="1892"/>
      <c r="C52" s="1892"/>
      <c r="D52" s="1892"/>
      <c r="E52" s="1892" t="s">
        <v>124</v>
      </c>
      <c r="F52" s="1892"/>
      <c r="G52" s="197"/>
      <c r="H52" s="197"/>
      <c r="I52" s="197"/>
      <c r="J52" s="197"/>
      <c r="K52" s="197"/>
      <c r="L52" s="197"/>
      <c r="M52" s="197"/>
      <c r="N52" s="197"/>
      <c r="O52" s="197"/>
      <c r="P52" s="197"/>
      <c r="Q52" s="38" t="str">
        <f t="shared" si="0"/>
        <v>No</v>
      </c>
    </row>
    <row r="53" spans="1:17" x14ac:dyDescent="0.25">
      <c r="A53" s="197"/>
      <c r="B53" s="1892"/>
      <c r="C53" s="1892"/>
      <c r="D53" s="1892"/>
      <c r="E53" s="1892" t="s">
        <v>124</v>
      </c>
      <c r="F53" s="1892"/>
      <c r="G53" s="197"/>
      <c r="H53" s="197"/>
      <c r="I53" s="197"/>
      <c r="J53" s="197"/>
      <c r="K53" s="197"/>
      <c r="L53" s="197"/>
      <c r="M53" s="197"/>
      <c r="N53" s="197"/>
      <c r="O53" s="197"/>
      <c r="P53" s="197"/>
      <c r="Q53" s="38" t="str">
        <f t="shared" si="0"/>
        <v>No</v>
      </c>
    </row>
    <row r="54" spans="1:17" x14ac:dyDescent="0.25">
      <c r="A54" s="197"/>
      <c r="B54" s="197"/>
      <c r="C54" s="197"/>
      <c r="D54" s="197"/>
      <c r="E54" s="197"/>
      <c r="F54" s="197"/>
      <c r="G54" s="197"/>
      <c r="H54" s="197"/>
      <c r="I54" s="197"/>
      <c r="J54" s="197"/>
      <c r="K54" s="197"/>
      <c r="L54" s="197"/>
      <c r="M54" s="197"/>
      <c r="N54" s="197"/>
      <c r="O54" s="197"/>
      <c r="P54" s="197"/>
      <c r="Q54" s="38" t="str">
        <f t="shared" si="0"/>
        <v>No</v>
      </c>
    </row>
    <row r="55" spans="1:17" ht="18.75" customHeight="1" x14ac:dyDescent="0.25">
      <c r="A55" s="197"/>
      <c r="B55" s="1951" t="s">
        <v>918</v>
      </c>
      <c r="C55" s="1952"/>
      <c r="D55" s="1953"/>
      <c r="E55" s="1954" t="str">
        <f>IF(AND(E42&lt;&gt;"",E43="Yes",E44&lt;&gt;"",COUNTIF(Q48:Q54,"Yes")&gt;1),"Yes","No")</f>
        <v>No</v>
      </c>
      <c r="F55" s="1955"/>
      <c r="G55" s="197"/>
      <c r="H55" s="197"/>
      <c r="I55" s="197"/>
      <c r="J55" s="197"/>
      <c r="K55" s="197"/>
      <c r="L55" s="197"/>
      <c r="M55" s="197"/>
      <c r="N55" s="197"/>
      <c r="O55" s="197"/>
      <c r="P55" s="197"/>
    </row>
    <row r="56" spans="1:17" ht="18" customHeight="1" x14ac:dyDescent="0.25">
      <c r="A56" s="197"/>
      <c r="B56" s="197"/>
      <c r="C56" s="197"/>
      <c r="D56" s="197"/>
      <c r="E56" s="197"/>
      <c r="F56" s="197"/>
      <c r="G56" s="197"/>
      <c r="H56" s="197"/>
      <c r="I56" s="197"/>
      <c r="J56" s="197"/>
      <c r="K56" s="197"/>
      <c r="L56" s="197"/>
      <c r="M56" s="197"/>
      <c r="N56" s="197"/>
      <c r="O56" s="197"/>
      <c r="P56" s="197"/>
    </row>
    <row r="57" spans="1:17" ht="16.5" customHeight="1" x14ac:dyDescent="0.25">
      <c r="A57" s="270" t="s">
        <v>186</v>
      </c>
      <c r="B57" s="65"/>
      <c r="C57" s="65"/>
      <c r="D57" s="197"/>
      <c r="E57" s="197"/>
      <c r="F57" s="197"/>
      <c r="G57" s="197"/>
      <c r="H57" s="197"/>
      <c r="I57" s="197"/>
      <c r="J57" s="197"/>
      <c r="K57" s="197"/>
      <c r="L57" s="197"/>
      <c r="M57" s="197"/>
      <c r="N57" s="197"/>
      <c r="O57" s="197"/>
      <c r="P57" s="197"/>
    </row>
    <row r="58" spans="1:17" x14ac:dyDescent="0.25">
      <c r="A58" s="197"/>
      <c r="B58" s="197"/>
      <c r="C58" s="197"/>
      <c r="D58" s="197"/>
      <c r="E58" s="197"/>
      <c r="F58" s="197"/>
      <c r="G58" s="197"/>
      <c r="H58" s="197"/>
      <c r="I58" s="197"/>
      <c r="J58" s="197"/>
      <c r="K58" s="197"/>
      <c r="L58" s="197"/>
      <c r="M58" s="197"/>
      <c r="N58" s="197"/>
      <c r="O58" s="197"/>
      <c r="P58" s="197"/>
    </row>
    <row r="59" spans="1:17" ht="18" customHeight="1" x14ac:dyDescent="0.25">
      <c r="A59" s="197"/>
      <c r="B59" s="1929" t="s">
        <v>1739</v>
      </c>
      <c r="C59" s="1930"/>
      <c r="D59" s="1930"/>
      <c r="E59" s="1930"/>
      <c r="F59" s="1930"/>
      <c r="G59" s="1930"/>
      <c r="H59" s="1930"/>
      <c r="I59" s="1922" t="s">
        <v>1737</v>
      </c>
      <c r="J59" s="1922"/>
      <c r="K59" s="1922" t="s">
        <v>1738</v>
      </c>
      <c r="L59" s="1922"/>
      <c r="M59" s="197"/>
      <c r="N59" s="197"/>
      <c r="O59" s="197"/>
      <c r="P59" s="197"/>
    </row>
    <row r="60" spans="1:17" ht="24" customHeight="1" x14ac:dyDescent="0.25">
      <c r="A60" s="197"/>
      <c r="B60" s="1576" t="s">
        <v>1551</v>
      </c>
      <c r="C60" s="1577"/>
      <c r="D60" s="1577"/>
      <c r="E60" s="1577"/>
      <c r="F60" s="1577"/>
      <c r="G60" s="1577"/>
      <c r="H60" s="1578"/>
      <c r="I60" s="1763" t="s">
        <v>124</v>
      </c>
      <c r="J60" s="1841"/>
      <c r="K60" s="1587"/>
      <c r="L60" s="1588"/>
      <c r="M60" s="197"/>
      <c r="N60" s="197"/>
      <c r="O60" s="197"/>
      <c r="P60" s="197"/>
    </row>
    <row r="61" spans="1:17" x14ac:dyDescent="0.25">
      <c r="A61" s="197"/>
      <c r="B61" s="197"/>
      <c r="C61" s="197"/>
      <c r="D61" s="197"/>
      <c r="E61" s="197"/>
      <c r="F61" s="197"/>
      <c r="G61" s="197"/>
      <c r="H61" s="197"/>
      <c r="I61" s="197"/>
      <c r="J61" s="197"/>
      <c r="K61" s="197"/>
      <c r="L61" s="197"/>
      <c r="M61" s="197"/>
      <c r="N61" s="197"/>
      <c r="O61" s="197"/>
      <c r="P61" s="197"/>
    </row>
    <row r="62" spans="1:17" ht="16.5" customHeight="1" x14ac:dyDescent="0.25">
      <c r="A62" s="270" t="s">
        <v>22</v>
      </c>
      <c r="B62" s="65"/>
      <c r="C62" s="65"/>
      <c r="D62" s="197"/>
      <c r="E62" s="197"/>
      <c r="F62" s="197"/>
      <c r="G62" s="197"/>
      <c r="H62" s="197"/>
      <c r="I62" s="197"/>
      <c r="J62" s="197"/>
      <c r="K62" s="197"/>
      <c r="L62" s="197"/>
      <c r="M62" s="197"/>
      <c r="N62" s="197"/>
      <c r="O62" s="197"/>
      <c r="P62" s="197"/>
    </row>
    <row r="63" spans="1:17" x14ac:dyDescent="0.25">
      <c r="A63" s="197"/>
      <c r="B63" s="197"/>
      <c r="C63" s="197"/>
      <c r="D63" s="197"/>
      <c r="E63" s="197"/>
      <c r="F63" s="197"/>
      <c r="G63" s="197"/>
      <c r="H63" s="197"/>
      <c r="I63" s="197"/>
      <c r="J63" s="197"/>
      <c r="K63" s="197"/>
      <c r="L63" s="197"/>
      <c r="M63" s="197"/>
      <c r="N63" s="197"/>
      <c r="O63" s="197"/>
      <c r="P63" s="197"/>
    </row>
    <row r="64" spans="1:17" ht="18" customHeight="1" x14ac:dyDescent="0.25">
      <c r="A64" s="197"/>
      <c r="B64" s="295" t="s">
        <v>53</v>
      </c>
      <c r="C64" s="1954">
        <f>IF(E55="Yes",1,0)</f>
        <v>0</v>
      </c>
      <c r="D64" s="1955"/>
      <c r="E64" s="197"/>
      <c r="F64" s="197"/>
      <c r="G64" s="197"/>
      <c r="H64" s="197"/>
      <c r="I64" s="197"/>
      <c r="J64" s="197"/>
      <c r="K64" s="197"/>
      <c r="L64" s="197"/>
      <c r="M64" s="197"/>
      <c r="N64" s="197"/>
      <c r="O64" s="197"/>
      <c r="P64" s="197"/>
    </row>
    <row r="65" spans="1:18" ht="18" customHeight="1" x14ac:dyDescent="0.25">
      <c r="A65" s="197"/>
      <c r="B65" s="186" t="s">
        <v>492</v>
      </c>
      <c r="C65" s="1954" t="str">
        <f>IF(AND(COUNTIF(I60,"Submitted")=1,C64&gt;0),"Yes","No")</f>
        <v>No</v>
      </c>
      <c r="D65" s="1955"/>
      <c r="E65" s="197"/>
      <c r="F65" s="197"/>
      <c r="G65" s="197"/>
      <c r="H65" s="197"/>
      <c r="I65" s="197"/>
      <c r="J65" s="197"/>
      <c r="K65" s="197"/>
      <c r="L65" s="197"/>
      <c r="M65" s="197"/>
      <c r="N65" s="197"/>
      <c r="O65" s="197"/>
      <c r="P65" s="197"/>
    </row>
    <row r="66" spans="1:18" ht="21" customHeight="1" x14ac:dyDescent="0.25">
      <c r="A66" s="197"/>
      <c r="B66" s="197"/>
      <c r="C66" s="197"/>
      <c r="D66" s="197"/>
      <c r="E66" s="197"/>
      <c r="F66" s="197"/>
      <c r="G66" s="197"/>
      <c r="H66" s="197"/>
      <c r="I66" s="197"/>
      <c r="J66" s="197"/>
      <c r="K66" s="197"/>
      <c r="L66" s="197"/>
      <c r="M66" s="197"/>
      <c r="N66" s="197"/>
      <c r="O66" s="197"/>
      <c r="P66" s="197"/>
    </row>
    <row r="67" spans="1:18" ht="18" customHeight="1" x14ac:dyDescent="0.25">
      <c r="A67" s="1877" t="s">
        <v>983</v>
      </c>
      <c r="B67" s="1877"/>
      <c r="C67" s="1877"/>
      <c r="D67" s="1877"/>
      <c r="E67" s="1877"/>
      <c r="F67" s="1877"/>
      <c r="G67" s="1877"/>
      <c r="H67" s="1877"/>
      <c r="I67" s="1877"/>
      <c r="J67" s="1877"/>
      <c r="K67" s="1877"/>
      <c r="L67" s="1877"/>
      <c r="M67" s="1877"/>
      <c r="N67" s="1877"/>
      <c r="O67" s="1877"/>
      <c r="P67" s="1877"/>
    </row>
    <row r="68" spans="1:18" ht="18" customHeight="1" x14ac:dyDescent="0.25">
      <c r="A68" s="190"/>
      <c r="B68" s="190"/>
      <c r="C68" s="190"/>
      <c r="D68" s="190"/>
      <c r="E68" s="190"/>
      <c r="F68" s="190"/>
      <c r="G68" s="190"/>
      <c r="H68" s="190"/>
      <c r="I68" s="190"/>
      <c r="J68" s="190"/>
      <c r="K68" s="190"/>
      <c r="L68" s="197"/>
      <c r="M68" s="197"/>
      <c r="N68" s="197"/>
      <c r="O68" s="197"/>
      <c r="P68" s="197"/>
    </row>
    <row r="69" spans="1:18" ht="16.5" customHeight="1" x14ac:dyDescent="0.25">
      <c r="A69" s="270" t="s">
        <v>245</v>
      </c>
      <c r="B69" s="65"/>
      <c r="C69" s="65"/>
      <c r="D69" s="197"/>
      <c r="E69" s="197"/>
      <c r="F69" s="197"/>
      <c r="G69" s="197"/>
      <c r="H69" s="197"/>
      <c r="I69" s="197"/>
      <c r="J69" s="197"/>
      <c r="K69" s="197"/>
      <c r="L69" s="197"/>
      <c r="M69" s="197"/>
      <c r="N69" s="197"/>
      <c r="O69" s="197"/>
      <c r="P69" s="197"/>
    </row>
    <row r="70" spans="1:18" ht="16.5" customHeight="1" x14ac:dyDescent="0.25">
      <c r="A70" s="197"/>
      <c r="B70" s="197"/>
      <c r="C70" s="197"/>
      <c r="D70" s="197"/>
      <c r="E70" s="197"/>
      <c r="F70" s="197"/>
      <c r="G70" s="197"/>
      <c r="H70" s="197"/>
      <c r="I70" s="197"/>
      <c r="J70" s="197"/>
      <c r="K70" s="197"/>
      <c r="L70" s="197"/>
      <c r="M70" s="197"/>
      <c r="N70" s="197"/>
      <c r="O70" s="197"/>
      <c r="P70" s="197"/>
    </row>
    <row r="71" spans="1:18" x14ac:dyDescent="0.25">
      <c r="A71" s="197"/>
      <c r="B71" s="1864" t="s">
        <v>1560</v>
      </c>
      <c r="C71" s="1865"/>
      <c r="D71" s="1865"/>
      <c r="E71" s="1865"/>
      <c r="F71" s="1865"/>
      <c r="G71" s="1865"/>
      <c r="H71" s="1865"/>
      <c r="I71" s="1865"/>
      <c r="J71" s="1866"/>
      <c r="K71" s="197"/>
      <c r="L71" s="197"/>
      <c r="M71" s="197"/>
      <c r="N71" s="197"/>
      <c r="O71" s="197"/>
      <c r="P71" s="197"/>
    </row>
    <row r="72" spans="1:18" x14ac:dyDescent="0.25">
      <c r="A72" s="197"/>
      <c r="B72" s="765" t="s">
        <v>638</v>
      </c>
      <c r="C72" s="567"/>
      <c r="D72" s="567"/>
      <c r="E72" s="567"/>
      <c r="F72" s="567"/>
      <c r="G72" s="567"/>
      <c r="H72" s="567"/>
      <c r="I72" s="567"/>
      <c r="J72" s="573"/>
      <c r="K72" s="197"/>
      <c r="L72" s="197"/>
      <c r="M72" s="197"/>
      <c r="N72" s="197"/>
      <c r="O72" s="197"/>
      <c r="P72" s="197"/>
    </row>
    <row r="73" spans="1:18" x14ac:dyDescent="0.25">
      <c r="A73" s="197"/>
      <c r="B73" s="765" t="s">
        <v>639</v>
      </c>
      <c r="C73" s="567"/>
      <c r="D73" s="567"/>
      <c r="E73" s="567"/>
      <c r="F73" s="567"/>
      <c r="G73" s="567"/>
      <c r="H73" s="567"/>
      <c r="I73" s="567"/>
      <c r="J73" s="573"/>
      <c r="K73" s="197"/>
      <c r="L73" s="197"/>
      <c r="M73" s="197"/>
      <c r="N73" s="197"/>
      <c r="O73" s="197"/>
      <c r="P73" s="197"/>
    </row>
    <row r="74" spans="1:18" x14ac:dyDescent="0.25">
      <c r="A74" s="197"/>
      <c r="B74" s="765" t="s">
        <v>640</v>
      </c>
      <c r="C74" s="567"/>
      <c r="D74" s="567"/>
      <c r="E74" s="567"/>
      <c r="F74" s="567"/>
      <c r="G74" s="567"/>
      <c r="H74" s="567"/>
      <c r="I74" s="567"/>
      <c r="J74" s="573"/>
      <c r="K74" s="197"/>
      <c r="L74" s="197"/>
      <c r="M74" s="197"/>
      <c r="N74" s="197"/>
      <c r="O74" s="197"/>
      <c r="P74" s="197"/>
    </row>
    <row r="75" spans="1:18" x14ac:dyDescent="0.25">
      <c r="A75" s="197"/>
      <c r="B75" s="766" t="s">
        <v>1561</v>
      </c>
      <c r="C75" s="575"/>
      <c r="D75" s="575"/>
      <c r="E75" s="575"/>
      <c r="F75" s="575"/>
      <c r="G75" s="575"/>
      <c r="H75" s="575"/>
      <c r="I75" s="575"/>
      <c r="J75" s="576"/>
      <c r="K75" s="197"/>
      <c r="L75" s="197"/>
      <c r="M75" s="197"/>
      <c r="N75" s="197"/>
      <c r="O75" s="197"/>
      <c r="P75" s="197"/>
    </row>
    <row r="76" spans="1:18" x14ac:dyDescent="0.25">
      <c r="A76" s="197"/>
      <c r="B76" s="197"/>
      <c r="C76" s="197"/>
      <c r="D76" s="197"/>
      <c r="E76" s="197"/>
      <c r="F76" s="197"/>
      <c r="G76" s="197"/>
      <c r="H76" s="197"/>
      <c r="I76" s="197"/>
      <c r="J76" s="197"/>
      <c r="K76" s="197"/>
      <c r="L76" s="197"/>
      <c r="M76" s="197"/>
      <c r="N76" s="197"/>
      <c r="O76" s="197"/>
      <c r="P76" s="197"/>
    </row>
    <row r="77" spans="1:18" ht="18" customHeight="1" x14ac:dyDescent="0.25">
      <c r="A77" s="197"/>
      <c r="B77" s="1843" t="s">
        <v>1389</v>
      </c>
      <c r="C77" s="1843"/>
      <c r="D77" s="1843"/>
      <c r="E77" s="1931" t="s">
        <v>124</v>
      </c>
      <c r="F77" s="1932"/>
      <c r="G77" s="197"/>
      <c r="H77" s="197"/>
      <c r="I77" s="197"/>
      <c r="J77" s="197"/>
      <c r="K77" s="197"/>
      <c r="L77" s="197"/>
      <c r="M77" s="197"/>
      <c r="N77" s="197"/>
      <c r="O77" s="197"/>
      <c r="P77" s="197"/>
      <c r="Q77" s="80" t="b">
        <v>1</v>
      </c>
      <c r="R77" s="80"/>
    </row>
    <row r="78" spans="1:18" ht="25.5" customHeight="1" x14ac:dyDescent="0.25">
      <c r="A78" s="197"/>
      <c r="B78" s="1843" t="s">
        <v>1390</v>
      </c>
      <c r="C78" s="1843"/>
      <c r="D78" s="1843"/>
      <c r="E78" s="1947"/>
      <c r="F78" s="1948"/>
      <c r="G78" s="1948"/>
      <c r="H78" s="1948"/>
      <c r="I78" s="1948"/>
      <c r="J78" s="1948"/>
      <c r="K78" s="1948"/>
      <c r="L78" s="1948"/>
      <c r="M78" s="1949"/>
      <c r="N78" s="197"/>
      <c r="O78" s="197"/>
      <c r="P78" s="197"/>
    </row>
    <row r="79" spans="1:18" ht="20.25" customHeight="1" x14ac:dyDescent="0.25">
      <c r="A79" s="197"/>
      <c r="B79" s="197"/>
      <c r="C79" s="197"/>
      <c r="D79" s="197"/>
      <c r="E79" s="197"/>
      <c r="F79" s="197"/>
      <c r="G79" s="197"/>
      <c r="H79" s="197"/>
      <c r="I79" s="197"/>
      <c r="J79" s="197"/>
      <c r="K79" s="197"/>
      <c r="L79" s="197"/>
      <c r="M79" s="197"/>
      <c r="N79" s="197"/>
      <c r="O79" s="197"/>
      <c r="P79" s="197"/>
    </row>
    <row r="80" spans="1:18" ht="20.25" customHeight="1" x14ac:dyDescent="0.25">
      <c r="A80" s="197"/>
      <c r="B80" s="1951" t="s">
        <v>919</v>
      </c>
      <c r="C80" s="1952"/>
      <c r="D80" s="1953"/>
      <c r="E80" s="10" t="str">
        <f>IF(AND(E77="Yes",E78&lt;&gt;""),"Yes","No")</f>
        <v>No</v>
      </c>
      <c r="F80" s="197"/>
      <c r="G80" s="197"/>
      <c r="H80" s="197"/>
      <c r="I80" s="197"/>
      <c r="J80" s="197"/>
      <c r="K80" s="197"/>
      <c r="L80" s="197"/>
      <c r="M80" s="197"/>
      <c r="N80" s="197"/>
      <c r="O80" s="197"/>
      <c r="P80" s="197"/>
    </row>
    <row r="81" spans="1:16" ht="20.25" customHeight="1" x14ac:dyDescent="0.25">
      <c r="A81" s="197"/>
      <c r="B81" s="197"/>
      <c r="C81" s="197"/>
      <c r="D81" s="197"/>
      <c r="E81" s="197"/>
      <c r="F81" s="197"/>
      <c r="G81" s="197"/>
      <c r="H81" s="197"/>
      <c r="I81" s="197"/>
      <c r="J81" s="197"/>
      <c r="K81" s="197"/>
      <c r="L81" s="197"/>
      <c r="M81" s="197"/>
      <c r="N81" s="197"/>
      <c r="O81" s="197"/>
      <c r="P81" s="197"/>
    </row>
    <row r="82" spans="1:16" ht="16.5" customHeight="1" x14ac:dyDescent="0.25">
      <c r="A82" s="270" t="s">
        <v>186</v>
      </c>
      <c r="B82" s="65"/>
      <c r="C82" s="65"/>
      <c r="D82" s="197"/>
      <c r="E82" s="197"/>
      <c r="F82" s="197"/>
      <c r="G82" s="197"/>
      <c r="H82" s="197"/>
      <c r="I82" s="197"/>
      <c r="J82" s="197"/>
      <c r="K82" s="197"/>
      <c r="L82" s="197"/>
      <c r="M82" s="197"/>
      <c r="N82" s="197"/>
      <c r="O82" s="197"/>
      <c r="P82" s="197"/>
    </row>
    <row r="83" spans="1:16" x14ac:dyDescent="0.25">
      <c r="A83" s="197"/>
      <c r="B83" s="197"/>
      <c r="C83" s="197"/>
      <c r="D83" s="197"/>
      <c r="E83" s="197"/>
      <c r="F83" s="197"/>
      <c r="G83" s="197"/>
      <c r="H83" s="197"/>
      <c r="I83" s="197"/>
      <c r="J83" s="197"/>
      <c r="K83" s="197"/>
      <c r="L83" s="197"/>
      <c r="M83" s="197"/>
      <c r="N83" s="197"/>
      <c r="O83" s="197"/>
      <c r="P83" s="197"/>
    </row>
    <row r="84" spans="1:16" ht="18" customHeight="1" x14ac:dyDescent="0.25">
      <c r="A84" s="197"/>
      <c r="B84" s="1929" t="s">
        <v>1739</v>
      </c>
      <c r="C84" s="1930"/>
      <c r="D84" s="1930"/>
      <c r="E84" s="1930"/>
      <c r="F84" s="1930"/>
      <c r="G84" s="1930"/>
      <c r="H84" s="1930"/>
      <c r="I84" s="1922" t="s">
        <v>1737</v>
      </c>
      <c r="J84" s="1922"/>
      <c r="K84" s="1922" t="s">
        <v>1738</v>
      </c>
      <c r="L84" s="1922"/>
      <c r="M84" s="197"/>
      <c r="N84" s="197"/>
      <c r="O84" s="197"/>
      <c r="P84" s="197"/>
    </row>
    <row r="85" spans="1:16" ht="24" customHeight="1" x14ac:dyDescent="0.25">
      <c r="A85" s="197"/>
      <c r="B85" s="1576" t="s">
        <v>1552</v>
      </c>
      <c r="C85" s="1577"/>
      <c r="D85" s="1577"/>
      <c r="E85" s="1577"/>
      <c r="F85" s="1577"/>
      <c r="G85" s="1577"/>
      <c r="H85" s="1578"/>
      <c r="I85" s="1763" t="s">
        <v>124</v>
      </c>
      <c r="J85" s="1841"/>
      <c r="K85" s="1587"/>
      <c r="L85" s="1588"/>
      <c r="M85" s="197"/>
      <c r="N85" s="197"/>
      <c r="O85" s="197"/>
      <c r="P85" s="197"/>
    </row>
    <row r="86" spans="1:16" x14ac:dyDescent="0.25">
      <c r="A86" s="197"/>
      <c r="B86" s="197"/>
      <c r="C86" s="197"/>
      <c r="D86" s="197"/>
      <c r="E86" s="197"/>
      <c r="F86" s="197"/>
      <c r="G86" s="197"/>
      <c r="H86" s="197"/>
      <c r="I86" s="197"/>
      <c r="J86" s="197"/>
      <c r="K86" s="197"/>
      <c r="L86" s="197"/>
      <c r="M86" s="197"/>
      <c r="N86" s="197"/>
      <c r="O86" s="197"/>
      <c r="P86" s="197"/>
    </row>
    <row r="87" spans="1:16" ht="16.5" customHeight="1" x14ac:dyDescent="0.25">
      <c r="A87" s="270" t="s">
        <v>22</v>
      </c>
      <c r="B87" s="65"/>
      <c r="C87" s="65"/>
      <c r="D87" s="197"/>
      <c r="E87" s="197"/>
      <c r="F87" s="197"/>
      <c r="G87" s="197"/>
      <c r="H87" s="197"/>
      <c r="I87" s="197"/>
      <c r="J87" s="197"/>
      <c r="K87" s="197"/>
      <c r="L87" s="197"/>
      <c r="M87" s="197"/>
      <c r="N87" s="197"/>
      <c r="O87" s="197"/>
      <c r="P87" s="197"/>
    </row>
    <row r="88" spans="1:16" x14ac:dyDescent="0.25">
      <c r="A88" s="197"/>
      <c r="B88" s="197"/>
      <c r="C88" s="197"/>
      <c r="D88" s="197"/>
      <c r="E88" s="197"/>
      <c r="F88" s="197"/>
      <c r="G88" s="197"/>
      <c r="H88" s="197"/>
      <c r="I88" s="197"/>
      <c r="J88" s="197"/>
      <c r="K88" s="197"/>
      <c r="L88" s="197"/>
      <c r="M88" s="197"/>
      <c r="N88" s="197"/>
      <c r="O88" s="197"/>
      <c r="P88" s="197"/>
    </row>
    <row r="89" spans="1:16" ht="18" customHeight="1" x14ac:dyDescent="0.25">
      <c r="A89" s="197"/>
      <c r="B89" s="211" t="s">
        <v>53</v>
      </c>
      <c r="C89" s="1954">
        <f>IF(E80="Yes",1,0)</f>
        <v>0</v>
      </c>
      <c r="D89" s="1955"/>
      <c r="E89" s="197"/>
      <c r="F89" s="197"/>
      <c r="G89" s="197"/>
      <c r="H89" s="197"/>
      <c r="I89" s="197"/>
      <c r="J89" s="197"/>
      <c r="K89" s="197"/>
      <c r="L89" s="197"/>
      <c r="M89" s="197"/>
      <c r="N89" s="197"/>
      <c r="O89" s="197"/>
      <c r="P89" s="197"/>
    </row>
    <row r="90" spans="1:16" ht="18" customHeight="1" x14ac:dyDescent="0.25">
      <c r="A90" s="197"/>
      <c r="B90" s="186" t="s">
        <v>492</v>
      </c>
      <c r="C90" s="1954" t="str">
        <f>IF(AND(COUNTIF(I85,"Submitted")=1,C89&gt;0),"Yes","No")</f>
        <v>No</v>
      </c>
      <c r="D90" s="1955"/>
      <c r="E90" s="197"/>
      <c r="F90" s="197"/>
      <c r="G90" s="197"/>
      <c r="H90" s="197"/>
      <c r="I90" s="197"/>
      <c r="J90" s="197"/>
      <c r="K90" s="197"/>
      <c r="L90" s="197"/>
      <c r="M90" s="197"/>
      <c r="N90" s="197"/>
      <c r="O90" s="197"/>
      <c r="P90" s="197"/>
    </row>
    <row r="91" spans="1:16" ht="20.25" customHeight="1" x14ac:dyDescent="0.25">
      <c r="A91" s="197"/>
      <c r="B91" s="197"/>
      <c r="C91" s="197"/>
      <c r="D91" s="197"/>
      <c r="E91" s="197"/>
      <c r="F91" s="197"/>
      <c r="G91" s="197"/>
      <c r="H91" s="197"/>
      <c r="I91" s="197"/>
      <c r="J91" s="197"/>
      <c r="K91" s="197"/>
      <c r="L91" s="197"/>
      <c r="M91" s="197"/>
      <c r="N91" s="197"/>
      <c r="O91" s="197"/>
      <c r="P91" s="197"/>
    </row>
    <row r="92" spans="1:16" ht="18" customHeight="1" x14ac:dyDescent="0.25">
      <c r="A92" s="1885" t="s">
        <v>15</v>
      </c>
      <c r="B92" s="1885"/>
      <c r="C92" s="1885"/>
      <c r="D92" s="1885"/>
      <c r="E92" s="1885"/>
      <c r="F92" s="1885"/>
      <c r="G92" s="1885"/>
      <c r="H92" s="1885"/>
      <c r="I92" s="1885"/>
      <c r="J92" s="1885"/>
      <c r="K92" s="1885"/>
      <c r="L92" s="1885"/>
      <c r="M92" s="1885"/>
      <c r="N92" s="1885"/>
      <c r="O92" s="1885"/>
      <c r="P92" s="1885"/>
    </row>
    <row r="93" spans="1:16" x14ac:dyDescent="0.25">
      <c r="A93" s="344"/>
      <c r="B93" s="344"/>
      <c r="C93" s="344"/>
      <c r="D93" s="344"/>
      <c r="E93" s="344"/>
      <c r="F93" s="344"/>
      <c r="G93" s="344"/>
      <c r="H93" s="344"/>
      <c r="I93" s="344"/>
      <c r="J93" s="344"/>
      <c r="K93" s="344"/>
      <c r="L93" s="344"/>
      <c r="M93" s="344"/>
      <c r="N93" s="344"/>
      <c r="O93" s="344"/>
      <c r="P93" s="344"/>
    </row>
    <row r="94" spans="1:16" ht="16.5" customHeight="1" x14ac:dyDescent="0.25">
      <c r="A94" s="1877" t="s">
        <v>245</v>
      </c>
      <c r="B94" s="1877"/>
      <c r="C94" s="1877"/>
      <c r="D94" s="344"/>
      <c r="E94" s="344"/>
      <c r="F94" s="344"/>
      <c r="G94" s="344"/>
      <c r="H94" s="344"/>
      <c r="I94" s="344"/>
      <c r="J94" s="344"/>
      <c r="K94" s="344"/>
      <c r="L94" s="344"/>
      <c r="M94" s="344"/>
      <c r="N94" s="344"/>
      <c r="O94" s="344"/>
      <c r="P94" s="344"/>
    </row>
    <row r="95" spans="1:16" x14ac:dyDescent="0.25">
      <c r="A95" s="344"/>
      <c r="B95" s="344"/>
      <c r="C95" s="344"/>
      <c r="D95" s="344"/>
      <c r="E95" s="344"/>
      <c r="F95" s="344"/>
      <c r="G95" s="344"/>
      <c r="H95" s="344"/>
      <c r="I95" s="344"/>
      <c r="J95" s="344"/>
      <c r="K95" s="344"/>
      <c r="L95" s="344"/>
      <c r="M95" s="344"/>
      <c r="N95" s="344"/>
      <c r="O95" s="344"/>
      <c r="P95" s="344"/>
    </row>
    <row r="96" spans="1:16" x14ac:dyDescent="0.25">
      <c r="A96" s="344"/>
      <c r="B96" s="718" t="s">
        <v>1385</v>
      </c>
      <c r="C96" s="344"/>
      <c r="D96" s="344"/>
      <c r="E96" s="344"/>
      <c r="F96" s="344"/>
      <c r="G96" s="344"/>
      <c r="H96" s="344"/>
      <c r="I96" s="344"/>
      <c r="J96" s="344"/>
      <c r="K96" s="344"/>
      <c r="L96" s="344"/>
      <c r="M96" s="344"/>
      <c r="N96" s="344"/>
      <c r="O96" s="344"/>
      <c r="P96" s="344"/>
    </row>
    <row r="97" spans="1:16" x14ac:dyDescent="0.25">
      <c r="A97" s="344"/>
      <c r="B97" s="344"/>
      <c r="C97" s="344"/>
      <c r="D97" s="344"/>
      <c r="E97" s="344"/>
      <c r="F97" s="344"/>
      <c r="G97" s="344"/>
      <c r="H97" s="344"/>
      <c r="I97" s="344"/>
      <c r="J97" s="344"/>
      <c r="K97" s="344"/>
      <c r="L97" s="344"/>
      <c r="M97" s="344"/>
      <c r="N97" s="344"/>
      <c r="O97" s="344"/>
      <c r="P97" s="344"/>
    </row>
    <row r="98" spans="1:16" x14ac:dyDescent="0.25">
      <c r="A98" s="344"/>
      <c r="B98" s="585" t="s">
        <v>1386</v>
      </c>
      <c r="C98" s="570"/>
      <c r="D98" s="570"/>
      <c r="E98" s="570"/>
      <c r="F98" s="570"/>
      <c r="G98" s="570"/>
      <c r="H98" s="570"/>
      <c r="I98" s="571"/>
      <c r="J98" s="344"/>
      <c r="K98" s="344"/>
      <c r="L98" s="344"/>
      <c r="M98" s="344"/>
      <c r="N98" s="344"/>
      <c r="O98" s="344"/>
      <c r="P98" s="344"/>
    </row>
    <row r="99" spans="1:16" x14ac:dyDescent="0.25">
      <c r="A99" s="344"/>
      <c r="B99" s="765" t="s">
        <v>1501</v>
      </c>
      <c r="C99" s="567"/>
      <c r="D99" s="567"/>
      <c r="E99" s="567"/>
      <c r="F99" s="567"/>
      <c r="G99" s="567"/>
      <c r="H99" s="567"/>
      <c r="I99" s="573"/>
      <c r="J99" s="344"/>
      <c r="K99" s="344"/>
      <c r="L99" s="344"/>
      <c r="M99" s="344"/>
      <c r="N99" s="344"/>
      <c r="O99" s="344"/>
      <c r="P99" s="344"/>
    </row>
    <row r="100" spans="1:16" x14ac:dyDescent="0.25">
      <c r="A100" s="344"/>
      <c r="B100" s="772" t="s">
        <v>1497</v>
      </c>
      <c r="C100" s="567"/>
      <c r="D100" s="567"/>
      <c r="E100" s="567"/>
      <c r="F100" s="567"/>
      <c r="G100" s="567"/>
      <c r="H100" s="567"/>
      <c r="I100" s="573"/>
      <c r="J100" s="344"/>
      <c r="K100" s="344"/>
      <c r="L100" s="344"/>
      <c r="M100" s="344"/>
      <c r="N100" s="344"/>
      <c r="O100" s="344"/>
      <c r="P100" s="344"/>
    </row>
    <row r="101" spans="1:16" x14ac:dyDescent="0.25">
      <c r="A101" s="344"/>
      <c r="B101" s="772" t="s">
        <v>1498</v>
      </c>
      <c r="C101" s="567"/>
      <c r="D101" s="567"/>
      <c r="E101" s="567"/>
      <c r="F101" s="567"/>
      <c r="G101" s="567"/>
      <c r="H101" s="567"/>
      <c r="I101" s="573"/>
      <c r="J101" s="344"/>
      <c r="K101" s="344"/>
      <c r="L101" s="344"/>
      <c r="M101" s="344"/>
      <c r="N101" s="344"/>
      <c r="O101" s="344"/>
      <c r="P101" s="344"/>
    </row>
    <row r="102" spans="1:16" x14ac:dyDescent="0.25">
      <c r="A102" s="344"/>
      <c r="B102" s="772" t="s">
        <v>1502</v>
      </c>
      <c r="C102" s="567"/>
      <c r="D102" s="567"/>
      <c r="E102" s="567"/>
      <c r="F102" s="567"/>
      <c r="G102" s="567"/>
      <c r="H102" s="567"/>
      <c r="I102" s="573"/>
      <c r="J102" s="344"/>
      <c r="K102" s="344"/>
      <c r="L102" s="344"/>
      <c r="M102" s="344"/>
      <c r="N102" s="344"/>
      <c r="O102" s="344"/>
      <c r="P102" s="344"/>
    </row>
    <row r="103" spans="1:16" x14ac:dyDescent="0.25">
      <c r="A103" s="344"/>
      <c r="B103" s="765" t="s">
        <v>1387</v>
      </c>
      <c r="C103" s="567"/>
      <c r="D103" s="567"/>
      <c r="E103" s="567"/>
      <c r="F103" s="567"/>
      <c r="G103" s="567"/>
      <c r="H103" s="567"/>
      <c r="I103" s="573"/>
      <c r="J103" s="344"/>
      <c r="K103" s="344"/>
      <c r="L103" s="344"/>
      <c r="M103" s="344"/>
      <c r="N103" s="344"/>
      <c r="O103" s="344"/>
      <c r="P103" s="344"/>
    </row>
    <row r="104" spans="1:16" x14ac:dyDescent="0.25">
      <c r="A104" s="344"/>
      <c r="B104" s="772" t="s">
        <v>1499</v>
      </c>
      <c r="C104" s="567"/>
      <c r="D104" s="567"/>
      <c r="E104" s="567"/>
      <c r="F104" s="567"/>
      <c r="G104" s="567"/>
      <c r="H104" s="567"/>
      <c r="I104" s="573"/>
      <c r="J104" s="344"/>
      <c r="K104" s="344"/>
      <c r="L104" s="344"/>
      <c r="M104" s="344"/>
      <c r="N104" s="344"/>
      <c r="O104" s="344"/>
      <c r="P104" s="344"/>
    </row>
    <row r="105" spans="1:16" x14ac:dyDescent="0.25">
      <c r="A105" s="344"/>
      <c r="B105" s="772" t="s">
        <v>1503</v>
      </c>
      <c r="C105" s="567"/>
      <c r="D105" s="567"/>
      <c r="E105" s="567"/>
      <c r="F105" s="567"/>
      <c r="G105" s="567"/>
      <c r="H105" s="567"/>
      <c r="I105" s="573"/>
      <c r="J105" s="344"/>
      <c r="K105" s="344"/>
      <c r="L105" s="344"/>
      <c r="M105" s="344"/>
      <c r="N105" s="344"/>
      <c r="O105" s="344"/>
      <c r="P105" s="344"/>
    </row>
    <row r="106" spans="1:16" x14ac:dyDescent="0.25">
      <c r="A106" s="344"/>
      <c r="B106" s="811" t="s">
        <v>1388</v>
      </c>
      <c r="C106" s="575"/>
      <c r="D106" s="575"/>
      <c r="E106" s="575"/>
      <c r="F106" s="575"/>
      <c r="G106" s="575"/>
      <c r="H106" s="575"/>
      <c r="I106" s="576"/>
      <c r="J106" s="344"/>
      <c r="K106" s="344"/>
      <c r="L106" s="344"/>
      <c r="M106" s="344"/>
      <c r="N106" s="344"/>
      <c r="O106" s="344"/>
      <c r="P106" s="344"/>
    </row>
    <row r="107" spans="1:16" x14ac:dyDescent="0.25">
      <c r="A107" s="344"/>
      <c r="B107" s="344"/>
      <c r="C107" s="344"/>
      <c r="D107" s="344"/>
      <c r="E107" s="344"/>
      <c r="F107" s="344"/>
      <c r="G107" s="344"/>
      <c r="H107" s="344"/>
      <c r="I107" s="344"/>
      <c r="J107" s="344"/>
      <c r="K107" s="344"/>
      <c r="L107" s="344"/>
      <c r="M107" s="344"/>
      <c r="N107" s="344"/>
      <c r="O107" s="344"/>
      <c r="P107" s="344"/>
    </row>
    <row r="108" spans="1:16" ht="16.5" customHeight="1" x14ac:dyDescent="0.25">
      <c r="A108" s="1877" t="s">
        <v>23</v>
      </c>
      <c r="B108" s="1877"/>
      <c r="C108" s="1877"/>
      <c r="D108" s="344"/>
      <c r="E108" s="344"/>
      <c r="F108" s="344"/>
      <c r="G108" s="344"/>
      <c r="H108" s="344"/>
      <c r="I108" s="344"/>
      <c r="J108" s="344"/>
      <c r="K108" s="344"/>
      <c r="L108" s="344"/>
      <c r="M108" s="344"/>
      <c r="N108" s="344"/>
      <c r="O108" s="344"/>
      <c r="P108" s="344"/>
    </row>
    <row r="109" spans="1:16" x14ac:dyDescent="0.25">
      <c r="A109" s="344"/>
      <c r="B109" s="344"/>
      <c r="C109" s="344"/>
      <c r="D109" s="344"/>
      <c r="E109" s="344"/>
      <c r="F109" s="344"/>
      <c r="G109" s="344"/>
      <c r="H109" s="344"/>
      <c r="I109" s="344"/>
      <c r="J109" s="344"/>
      <c r="K109" s="344"/>
      <c r="L109" s="344"/>
      <c r="M109" s="344"/>
      <c r="N109" s="344"/>
      <c r="O109" s="344"/>
      <c r="P109" s="344"/>
    </row>
    <row r="110" spans="1:16" ht="18" customHeight="1" x14ac:dyDescent="0.25">
      <c r="A110" s="344"/>
      <c r="B110" s="162" t="s">
        <v>191</v>
      </c>
      <c r="C110" s="1892" t="s">
        <v>124</v>
      </c>
      <c r="D110" s="1892"/>
      <c r="E110" s="344"/>
      <c r="F110" s="344"/>
      <c r="G110" s="344"/>
      <c r="H110" s="344"/>
      <c r="I110" s="344"/>
      <c r="J110" s="344"/>
      <c r="K110" s="344"/>
      <c r="L110" s="344"/>
      <c r="M110" s="344"/>
      <c r="N110" s="344"/>
      <c r="O110" s="344"/>
      <c r="P110" s="344"/>
    </row>
    <row r="111" spans="1:16" x14ac:dyDescent="0.25">
      <c r="A111" s="344"/>
      <c r="B111" s="344"/>
      <c r="C111" s="344"/>
      <c r="D111" s="344"/>
      <c r="E111" s="344"/>
      <c r="F111" s="344"/>
      <c r="G111" s="344"/>
      <c r="H111" s="344"/>
      <c r="I111" s="344"/>
      <c r="J111" s="344"/>
      <c r="K111" s="344"/>
      <c r="L111" s="344"/>
      <c r="M111" s="344"/>
      <c r="N111" s="344"/>
      <c r="O111" s="344"/>
      <c r="P111" s="344"/>
    </row>
    <row r="112" spans="1:16" ht="31.5" x14ac:dyDescent="0.25">
      <c r="A112" s="344"/>
      <c r="B112" s="344"/>
      <c r="C112" s="161" t="s">
        <v>377</v>
      </c>
      <c r="D112" s="161" t="s">
        <v>378</v>
      </c>
      <c r="E112" s="161" t="s">
        <v>379</v>
      </c>
      <c r="F112" s="161" t="s">
        <v>380</v>
      </c>
      <c r="G112" s="161" t="s">
        <v>381</v>
      </c>
      <c r="H112" s="161" t="s">
        <v>382</v>
      </c>
      <c r="I112" s="161" t="s">
        <v>383</v>
      </c>
      <c r="J112" s="161" t="s">
        <v>384</v>
      </c>
      <c r="K112" s="161" t="s">
        <v>385</v>
      </c>
      <c r="L112" s="161" t="s">
        <v>386</v>
      </c>
      <c r="M112" s="161" t="s">
        <v>387</v>
      </c>
      <c r="N112" s="161" t="s">
        <v>388</v>
      </c>
      <c r="O112" s="161" t="s">
        <v>468</v>
      </c>
      <c r="P112" s="344"/>
    </row>
    <row r="113" spans="1:34" ht="15.75" x14ac:dyDescent="0.25">
      <c r="A113" s="344"/>
      <c r="B113" s="188" t="s">
        <v>469</v>
      </c>
      <c r="C113" s="429" t="str">
        <f>IFERROR(VLOOKUP($C$110,'Rainfall Data'!$A$227:$M$290,2,FALSE),"")</f>
        <v/>
      </c>
      <c r="D113" s="429" t="str">
        <f>IFERROR(VLOOKUP($C$110,'Rainfall Data'!$A$227:$M$290,3,FALSE),"")</f>
        <v/>
      </c>
      <c r="E113" s="429" t="str">
        <f>IFERROR(VLOOKUP($C$110,'Rainfall Data'!$A$227:$M$290,4,FALSE),"")</f>
        <v/>
      </c>
      <c r="F113" s="429" t="str">
        <f>IFERROR(VLOOKUP($C$110,'Rainfall Data'!$A$227:$M$290,5,FALSE),"")</f>
        <v/>
      </c>
      <c r="G113" s="429" t="str">
        <f>IFERROR(VLOOKUP($C$110,'Rainfall Data'!$A$227:$M$290,6,FALSE),"")</f>
        <v/>
      </c>
      <c r="H113" s="429" t="str">
        <f>IFERROR(VLOOKUP($C$110,'Rainfall Data'!$A$227:$M$290,7,FALSE),"")</f>
        <v/>
      </c>
      <c r="I113" s="429" t="str">
        <f>IFERROR(VLOOKUP($C$110,'Rainfall Data'!$A$227:$M$290,8,FALSE),"")</f>
        <v/>
      </c>
      <c r="J113" s="429" t="str">
        <f>IFERROR(VLOOKUP($C$110,'Rainfall Data'!$A$227:$M$290,9,FALSE),"")</f>
        <v/>
      </c>
      <c r="K113" s="429" t="str">
        <f>IFERROR(VLOOKUP($C$110,'Rainfall Data'!$A$227:$M$290,10,FALSE),"")</f>
        <v/>
      </c>
      <c r="L113" s="429" t="str">
        <f>IFERROR(VLOOKUP($C$110,'Rainfall Data'!$A$227:$M$290,11,FALSE),"")</f>
        <v/>
      </c>
      <c r="M113" s="429" t="str">
        <f>IFERROR(VLOOKUP($C$110,'Rainfall Data'!$A$227:$M$290,12,FALSE),"")</f>
        <v/>
      </c>
      <c r="N113" s="429" t="str">
        <f>IFERROR(VLOOKUP($C$110,'Rainfall Data'!$A$227:$M$290,13,FALSE),"")</f>
        <v/>
      </c>
      <c r="O113" s="429" t="str">
        <f>IFERROR(AVERAGE(C113:N113),"")</f>
        <v/>
      </c>
      <c r="P113" s="344"/>
    </row>
    <row r="114" spans="1:34" ht="15.75" x14ac:dyDescent="0.25">
      <c r="A114" s="344"/>
      <c r="B114" s="188" t="s">
        <v>470</v>
      </c>
      <c r="C114" s="429" t="str">
        <f>IFERROR(VLOOKUP($C$110,'Rainfall Data'!$A$146:$N$209,2,FALSE),"")</f>
        <v/>
      </c>
      <c r="D114" s="429" t="str">
        <f>IFERROR(VLOOKUP($C$110,'Rainfall Data'!$A$146:$N$209,3,FALSE),"")</f>
        <v/>
      </c>
      <c r="E114" s="429" t="str">
        <f>IFERROR(VLOOKUP($C$110,'Rainfall Data'!$A$146:$N$209,4,FALSE),"")</f>
        <v/>
      </c>
      <c r="F114" s="429" t="str">
        <f>IFERROR(VLOOKUP($C$110,'Rainfall Data'!$A$146:$N$209,5,FALSE),"")</f>
        <v/>
      </c>
      <c r="G114" s="429" t="str">
        <f>IFERROR(VLOOKUP($C$110,'Rainfall Data'!$A$146:$N$209,6,FALSE),"")</f>
        <v/>
      </c>
      <c r="H114" s="429" t="str">
        <f>IFERROR(VLOOKUP($C$110,'Rainfall Data'!$A$146:$N$209,7,FALSE),"")</f>
        <v/>
      </c>
      <c r="I114" s="429" t="str">
        <f>IFERROR(VLOOKUP($C$110,'Rainfall Data'!$A$146:$N$209,8,FALSE),"")</f>
        <v/>
      </c>
      <c r="J114" s="429" t="str">
        <f>IFERROR(VLOOKUP($C$110,'Rainfall Data'!$A$146:$N$209,9,FALSE),"")</f>
        <v/>
      </c>
      <c r="K114" s="429" t="str">
        <f>IFERROR(VLOOKUP($C$110,'Rainfall Data'!$A$146:$N$209,10,FALSE),"")</f>
        <v/>
      </c>
      <c r="L114" s="429" t="str">
        <f>IFERROR(VLOOKUP($C$110,'Rainfall Data'!$A$146:$N$209,11,FALSE),"")</f>
        <v/>
      </c>
      <c r="M114" s="429" t="str">
        <f>IFERROR(VLOOKUP($C$110,'Rainfall Data'!$A$146:$N$209,12,FALSE),"")</f>
        <v/>
      </c>
      <c r="N114" s="429" t="str">
        <f>IFERROR(VLOOKUP($C$110,'Rainfall Data'!$A$146:$N$209,13,FALSE),"")</f>
        <v/>
      </c>
      <c r="O114" s="429" t="str">
        <f>IF(C114="","",SUM(C114:N114))</f>
        <v/>
      </c>
      <c r="P114" s="344"/>
    </row>
    <row r="115" spans="1:34" ht="28.5" x14ac:dyDescent="0.25">
      <c r="A115" s="344"/>
      <c r="B115" s="188" t="s">
        <v>471</v>
      </c>
      <c r="C115" s="233"/>
      <c r="D115" s="233"/>
      <c r="E115" s="233"/>
      <c r="F115" s="233"/>
      <c r="G115" s="233"/>
      <c r="H115" s="233"/>
      <c r="I115" s="233"/>
      <c r="J115" s="233"/>
      <c r="K115" s="233"/>
      <c r="L115" s="233"/>
      <c r="M115" s="233"/>
      <c r="N115" s="233"/>
      <c r="O115" s="233"/>
      <c r="P115" s="344"/>
    </row>
    <row r="116" spans="1:34" x14ac:dyDescent="0.25">
      <c r="A116" s="344"/>
      <c r="B116" s="344"/>
      <c r="C116" s="344"/>
      <c r="D116" s="344"/>
      <c r="E116" s="344"/>
      <c r="F116" s="344"/>
      <c r="G116" s="344"/>
      <c r="H116" s="344"/>
      <c r="I116" s="344"/>
      <c r="J116" s="344"/>
      <c r="K116" s="344"/>
      <c r="L116" s="344"/>
      <c r="M116" s="344"/>
      <c r="N116" s="344"/>
      <c r="O116" s="344"/>
      <c r="P116" s="344"/>
    </row>
    <row r="117" spans="1:34" ht="48" customHeight="1" x14ac:dyDescent="0.25">
      <c r="A117" s="344"/>
      <c r="B117" s="188" t="s">
        <v>472</v>
      </c>
      <c r="C117" s="188" t="s">
        <v>473</v>
      </c>
      <c r="D117" s="188" t="s">
        <v>474</v>
      </c>
      <c r="E117" s="188" t="s">
        <v>475</v>
      </c>
      <c r="F117" s="188" t="s">
        <v>476</v>
      </c>
      <c r="G117" s="210" t="s">
        <v>477</v>
      </c>
      <c r="H117" s="1883" t="s">
        <v>478</v>
      </c>
      <c r="I117" s="1883"/>
      <c r="J117" s="209" t="s">
        <v>479</v>
      </c>
      <c r="K117" s="344"/>
      <c r="L117" s="344"/>
      <c r="M117" s="344"/>
      <c r="N117" s="344"/>
      <c r="O117" s="344"/>
      <c r="P117" s="344"/>
      <c r="V117" s="158" t="s">
        <v>377</v>
      </c>
      <c r="W117" s="158" t="s">
        <v>378</v>
      </c>
      <c r="X117" s="158" t="s">
        <v>379</v>
      </c>
      <c r="Y117" s="158" t="s">
        <v>380</v>
      </c>
      <c r="Z117" s="158" t="s">
        <v>381</v>
      </c>
      <c r="AA117" s="158" t="s">
        <v>382</v>
      </c>
      <c r="AB117" s="158" t="s">
        <v>383</v>
      </c>
      <c r="AC117" s="158" t="s">
        <v>384</v>
      </c>
      <c r="AD117" s="158" t="s">
        <v>385</v>
      </c>
      <c r="AE117" s="158" t="s">
        <v>386</v>
      </c>
      <c r="AF117" s="158" t="s">
        <v>387</v>
      </c>
      <c r="AG117" s="158" t="s">
        <v>388</v>
      </c>
      <c r="AH117" s="158" t="s">
        <v>265</v>
      </c>
    </row>
    <row r="118" spans="1:34" x14ac:dyDescent="0.25">
      <c r="A118" s="344"/>
      <c r="B118" s="232"/>
      <c r="C118" s="233"/>
      <c r="D118" s="234"/>
      <c r="E118" s="234"/>
      <c r="F118" s="234"/>
      <c r="G118" s="235"/>
      <c r="H118" s="1946"/>
      <c r="I118" s="1946"/>
      <c r="J118" s="428">
        <f t="shared" ref="J118:J123" si="1">AH118*C118</f>
        <v>0</v>
      </c>
      <c r="K118" s="344"/>
      <c r="L118" s="344"/>
      <c r="M118" s="344"/>
      <c r="N118" s="344"/>
      <c r="O118" s="344"/>
      <c r="P118" s="344"/>
      <c r="V118" s="159" t="e">
        <f t="shared" ref="V118:W123" si="2">(C$113*$D118*$E118*$F118/$G118-IF(C$115="",C$114*(1-$H118),C$115))/1000</f>
        <v>#VALUE!</v>
      </c>
      <c r="W118" s="159" t="e">
        <f t="shared" si="2"/>
        <v>#VALUE!</v>
      </c>
      <c r="X118" s="159" t="e">
        <f t="shared" ref="X118:AG118" si="3">(E$113*$D118*$E118*$F118/$G118-IF(E$115="",E$114*(1-$H118),E$115))/1000</f>
        <v>#VALUE!</v>
      </c>
      <c r="Y118" s="159" t="e">
        <f t="shared" ref="Y118:Y123" si="4">(F$113*$D118*$E118*$F118/$G118-IF(F$115="",F$114*(1-$H118),F$115))/1000</f>
        <v>#VALUE!</v>
      </c>
      <c r="Z118" s="159" t="e">
        <f t="shared" si="3"/>
        <v>#VALUE!</v>
      </c>
      <c r="AA118" s="159" t="e">
        <f t="shared" si="3"/>
        <v>#VALUE!</v>
      </c>
      <c r="AB118" s="159" t="e">
        <f t="shared" si="3"/>
        <v>#VALUE!</v>
      </c>
      <c r="AC118" s="159" t="e">
        <f t="shared" si="3"/>
        <v>#VALUE!</v>
      </c>
      <c r="AD118" s="159" t="e">
        <f t="shared" si="3"/>
        <v>#VALUE!</v>
      </c>
      <c r="AE118" s="159" t="e">
        <f t="shared" si="3"/>
        <v>#VALUE!</v>
      </c>
      <c r="AF118" s="159" t="e">
        <f t="shared" si="3"/>
        <v>#VALUE!</v>
      </c>
      <c r="AG118" s="159" t="e">
        <f t="shared" si="3"/>
        <v>#VALUE!</v>
      </c>
      <c r="AH118" s="159">
        <f t="shared" ref="AH118:AH123" si="5">SUMIF(V118:AG118,"&gt;0")</f>
        <v>0</v>
      </c>
    </row>
    <row r="119" spans="1:34" x14ac:dyDescent="0.25">
      <c r="A119" s="344"/>
      <c r="B119" s="232"/>
      <c r="C119" s="233"/>
      <c r="D119" s="234"/>
      <c r="E119" s="234"/>
      <c r="F119" s="234"/>
      <c r="G119" s="235"/>
      <c r="H119" s="1946"/>
      <c r="I119" s="1946"/>
      <c r="J119" s="428">
        <f t="shared" si="1"/>
        <v>0</v>
      </c>
      <c r="K119" s="344"/>
      <c r="L119" s="344"/>
      <c r="M119" s="344"/>
      <c r="N119" s="344"/>
      <c r="O119" s="344"/>
      <c r="P119" s="344"/>
      <c r="V119" s="159" t="e">
        <f t="shared" si="2"/>
        <v>#VALUE!</v>
      </c>
      <c r="W119" s="159" t="e">
        <f t="shared" si="2"/>
        <v>#VALUE!</v>
      </c>
      <c r="X119" s="159" t="e">
        <f>(E$113*$D119*$E119*$F119/$G119-IF(E$115="",E$114*(1-$H119),E$115))/1000</f>
        <v>#VALUE!</v>
      </c>
      <c r="Y119" s="159" t="e">
        <f t="shared" si="4"/>
        <v>#VALUE!</v>
      </c>
      <c r="Z119" s="159" t="e">
        <f t="shared" ref="Z119:AG123" si="6">(G$113*$D119*$E119*$F119/$G119-IF(G$115="",G$114*(1-$H119),G$115))/1000</f>
        <v>#VALUE!</v>
      </c>
      <c r="AA119" s="159" t="e">
        <f t="shared" si="6"/>
        <v>#VALUE!</v>
      </c>
      <c r="AB119" s="159" t="e">
        <f t="shared" si="6"/>
        <v>#VALUE!</v>
      </c>
      <c r="AC119" s="159" t="e">
        <f t="shared" si="6"/>
        <v>#VALUE!</v>
      </c>
      <c r="AD119" s="159" t="e">
        <f t="shared" si="6"/>
        <v>#VALUE!</v>
      </c>
      <c r="AE119" s="159" t="e">
        <f t="shared" si="6"/>
        <v>#VALUE!</v>
      </c>
      <c r="AF119" s="159" t="e">
        <f t="shared" si="6"/>
        <v>#VALUE!</v>
      </c>
      <c r="AG119" s="159" t="e">
        <f t="shared" si="6"/>
        <v>#VALUE!</v>
      </c>
      <c r="AH119" s="159">
        <f t="shared" si="5"/>
        <v>0</v>
      </c>
    </row>
    <row r="120" spans="1:34" x14ac:dyDescent="0.25">
      <c r="A120" s="344"/>
      <c r="B120" s="232"/>
      <c r="C120" s="233"/>
      <c r="D120" s="234"/>
      <c r="E120" s="234"/>
      <c r="F120" s="234"/>
      <c r="G120" s="235"/>
      <c r="H120" s="1946"/>
      <c r="I120" s="1946"/>
      <c r="J120" s="428">
        <f t="shared" si="1"/>
        <v>0</v>
      </c>
      <c r="K120" s="344"/>
      <c r="L120" s="344"/>
      <c r="M120" s="344"/>
      <c r="N120" s="344"/>
      <c r="O120" s="344"/>
      <c r="P120" s="344"/>
      <c r="V120" s="159" t="e">
        <f t="shared" si="2"/>
        <v>#VALUE!</v>
      </c>
      <c r="W120" s="159" t="e">
        <f t="shared" si="2"/>
        <v>#VALUE!</v>
      </c>
      <c r="X120" s="159" t="e">
        <f>(E$113*$D120*$E120*$F120/$G120-IF(E$115="",E$114*(1-$H120),E$115))/1000</f>
        <v>#VALUE!</v>
      </c>
      <c r="Y120" s="159" t="e">
        <f t="shared" si="4"/>
        <v>#VALUE!</v>
      </c>
      <c r="Z120" s="159" t="e">
        <f t="shared" si="6"/>
        <v>#VALUE!</v>
      </c>
      <c r="AA120" s="159" t="e">
        <f t="shared" si="6"/>
        <v>#VALUE!</v>
      </c>
      <c r="AB120" s="159" t="e">
        <f t="shared" si="6"/>
        <v>#VALUE!</v>
      </c>
      <c r="AC120" s="159" t="e">
        <f t="shared" si="6"/>
        <v>#VALUE!</v>
      </c>
      <c r="AD120" s="159" t="e">
        <f t="shared" si="6"/>
        <v>#VALUE!</v>
      </c>
      <c r="AE120" s="159" t="e">
        <f t="shared" si="6"/>
        <v>#VALUE!</v>
      </c>
      <c r="AF120" s="159" t="e">
        <f t="shared" si="6"/>
        <v>#VALUE!</v>
      </c>
      <c r="AG120" s="159" t="e">
        <f t="shared" si="6"/>
        <v>#VALUE!</v>
      </c>
      <c r="AH120" s="159">
        <f t="shared" si="5"/>
        <v>0</v>
      </c>
    </row>
    <row r="121" spans="1:34" x14ac:dyDescent="0.25">
      <c r="A121" s="344"/>
      <c r="B121" s="232"/>
      <c r="C121" s="233"/>
      <c r="D121" s="234"/>
      <c r="E121" s="234"/>
      <c r="F121" s="234"/>
      <c r="G121" s="235"/>
      <c r="H121" s="1946"/>
      <c r="I121" s="1946"/>
      <c r="J121" s="428">
        <f t="shared" si="1"/>
        <v>0</v>
      </c>
      <c r="K121" s="344"/>
      <c r="L121" s="344"/>
      <c r="M121" s="344"/>
      <c r="N121" s="344"/>
      <c r="O121" s="344"/>
      <c r="P121" s="344"/>
      <c r="V121" s="159" t="e">
        <f t="shared" si="2"/>
        <v>#VALUE!</v>
      </c>
      <c r="W121" s="159" t="e">
        <f t="shared" si="2"/>
        <v>#VALUE!</v>
      </c>
      <c r="X121" s="159" t="e">
        <f>(E$113*$D121*$E121*$F121/$G121-IF(E$115="",E$114*(1-$H121),E$115))/1000</f>
        <v>#VALUE!</v>
      </c>
      <c r="Y121" s="159" t="e">
        <f t="shared" si="4"/>
        <v>#VALUE!</v>
      </c>
      <c r="Z121" s="159" t="e">
        <f t="shared" si="6"/>
        <v>#VALUE!</v>
      </c>
      <c r="AA121" s="159" t="e">
        <f t="shared" si="6"/>
        <v>#VALUE!</v>
      </c>
      <c r="AB121" s="159" t="e">
        <f t="shared" si="6"/>
        <v>#VALUE!</v>
      </c>
      <c r="AC121" s="159" t="e">
        <f t="shared" si="6"/>
        <v>#VALUE!</v>
      </c>
      <c r="AD121" s="159" t="e">
        <f t="shared" si="6"/>
        <v>#VALUE!</v>
      </c>
      <c r="AE121" s="159" t="e">
        <f t="shared" si="6"/>
        <v>#VALUE!</v>
      </c>
      <c r="AF121" s="159" t="e">
        <f t="shared" si="6"/>
        <v>#VALUE!</v>
      </c>
      <c r="AG121" s="159" t="e">
        <f t="shared" si="6"/>
        <v>#VALUE!</v>
      </c>
      <c r="AH121" s="159">
        <f t="shared" si="5"/>
        <v>0</v>
      </c>
    </row>
    <row r="122" spans="1:34" x14ac:dyDescent="0.25">
      <c r="A122" s="344"/>
      <c r="B122" s="232"/>
      <c r="C122" s="233"/>
      <c r="D122" s="234"/>
      <c r="E122" s="234"/>
      <c r="F122" s="234"/>
      <c r="G122" s="235"/>
      <c r="H122" s="1946"/>
      <c r="I122" s="1946"/>
      <c r="J122" s="428">
        <f t="shared" si="1"/>
        <v>0</v>
      </c>
      <c r="K122" s="344"/>
      <c r="L122" s="344"/>
      <c r="M122" s="344"/>
      <c r="N122" s="344"/>
      <c r="O122" s="344"/>
      <c r="P122" s="344"/>
      <c r="V122" s="159" t="e">
        <f t="shared" si="2"/>
        <v>#VALUE!</v>
      </c>
      <c r="W122" s="159" t="e">
        <f t="shared" si="2"/>
        <v>#VALUE!</v>
      </c>
      <c r="X122" s="159" t="e">
        <f>(E$113*$D122*$E122*$F122/$G122-IF(E$115="",E$114*(1-$H122),E$115))/1000</f>
        <v>#VALUE!</v>
      </c>
      <c r="Y122" s="159" t="e">
        <f t="shared" si="4"/>
        <v>#VALUE!</v>
      </c>
      <c r="Z122" s="159" t="e">
        <f t="shared" si="6"/>
        <v>#VALUE!</v>
      </c>
      <c r="AA122" s="159" t="e">
        <f t="shared" si="6"/>
        <v>#VALUE!</v>
      </c>
      <c r="AB122" s="159" t="e">
        <f t="shared" si="6"/>
        <v>#VALUE!</v>
      </c>
      <c r="AC122" s="159" t="e">
        <f t="shared" si="6"/>
        <v>#VALUE!</v>
      </c>
      <c r="AD122" s="159" t="e">
        <f t="shared" si="6"/>
        <v>#VALUE!</v>
      </c>
      <c r="AE122" s="159" t="e">
        <f t="shared" si="6"/>
        <v>#VALUE!</v>
      </c>
      <c r="AF122" s="159" t="e">
        <f t="shared" si="6"/>
        <v>#VALUE!</v>
      </c>
      <c r="AG122" s="159" t="e">
        <f t="shared" si="6"/>
        <v>#VALUE!</v>
      </c>
      <c r="AH122" s="159">
        <f t="shared" si="5"/>
        <v>0</v>
      </c>
    </row>
    <row r="123" spans="1:34" x14ac:dyDescent="0.25">
      <c r="A123" s="344"/>
      <c r="B123" s="233"/>
      <c r="C123" s="233"/>
      <c r="D123" s="234"/>
      <c r="E123" s="234"/>
      <c r="F123" s="234"/>
      <c r="G123" s="235"/>
      <c r="H123" s="1946"/>
      <c r="I123" s="1946"/>
      <c r="J123" s="428">
        <f t="shared" si="1"/>
        <v>0</v>
      </c>
      <c r="K123" s="344"/>
      <c r="L123" s="344"/>
      <c r="M123" s="344"/>
      <c r="N123" s="344"/>
      <c r="O123" s="344"/>
      <c r="P123" s="344"/>
      <c r="V123" s="159" t="e">
        <f t="shared" si="2"/>
        <v>#VALUE!</v>
      </c>
      <c r="W123" s="159" t="e">
        <f t="shared" si="2"/>
        <v>#VALUE!</v>
      </c>
      <c r="X123" s="159" t="e">
        <f>(E$113*$D123*$E123*$F123/$G123-IF(E$115="",E$114*(1-$H123),E$115))/1000</f>
        <v>#VALUE!</v>
      </c>
      <c r="Y123" s="159" t="e">
        <f t="shared" si="4"/>
        <v>#VALUE!</v>
      </c>
      <c r="Z123" s="159" t="e">
        <f t="shared" si="6"/>
        <v>#VALUE!</v>
      </c>
      <c r="AA123" s="159" t="e">
        <f t="shared" si="6"/>
        <v>#VALUE!</v>
      </c>
      <c r="AB123" s="159" t="e">
        <f t="shared" si="6"/>
        <v>#VALUE!</v>
      </c>
      <c r="AC123" s="159" t="e">
        <f t="shared" si="6"/>
        <v>#VALUE!</v>
      </c>
      <c r="AD123" s="159" t="e">
        <f t="shared" si="6"/>
        <v>#VALUE!</v>
      </c>
      <c r="AE123" s="159" t="e">
        <f t="shared" si="6"/>
        <v>#VALUE!</v>
      </c>
      <c r="AF123" s="159" t="e">
        <f t="shared" si="6"/>
        <v>#VALUE!</v>
      </c>
      <c r="AG123" s="159" t="e">
        <f t="shared" si="6"/>
        <v>#VALUE!</v>
      </c>
      <c r="AH123" s="159">
        <f t="shared" si="5"/>
        <v>0</v>
      </c>
    </row>
    <row r="124" spans="1:34" ht="16.5" customHeight="1" x14ac:dyDescent="0.25">
      <c r="A124" s="344"/>
      <c r="B124" s="160" t="s">
        <v>79</v>
      </c>
      <c r="C124" s="160">
        <f>SUM(C118:C123)</f>
        <v>0</v>
      </c>
      <c r="D124" s="344"/>
      <c r="E124" s="344"/>
      <c r="F124" s="344"/>
      <c r="G124" s="344"/>
      <c r="H124" s="344"/>
      <c r="I124" s="344"/>
      <c r="J124" s="427">
        <f>SUM(J118:J123)</f>
        <v>0</v>
      </c>
      <c r="K124" s="344"/>
      <c r="L124" s="344"/>
      <c r="M124" s="344"/>
      <c r="N124" s="344"/>
      <c r="O124" s="344"/>
      <c r="P124" s="344"/>
    </row>
    <row r="125" spans="1:34" x14ac:dyDescent="0.25">
      <c r="A125" s="344"/>
      <c r="B125" s="344"/>
      <c r="C125" s="344"/>
      <c r="D125" s="344"/>
      <c r="E125" s="344"/>
      <c r="F125" s="344"/>
      <c r="G125" s="344"/>
      <c r="H125" s="344"/>
      <c r="I125" s="344"/>
      <c r="J125" s="344"/>
      <c r="K125" s="344"/>
      <c r="L125" s="344"/>
      <c r="M125" s="344"/>
      <c r="N125" s="344"/>
      <c r="O125" s="344"/>
      <c r="P125" s="344"/>
    </row>
    <row r="126" spans="1:34" ht="18" customHeight="1" x14ac:dyDescent="0.25">
      <c r="A126" s="344"/>
      <c r="B126" s="1843" t="s">
        <v>1382</v>
      </c>
      <c r="C126" s="1843"/>
      <c r="D126" s="1843"/>
      <c r="E126" s="1931" t="s">
        <v>124</v>
      </c>
      <c r="F126" s="1932"/>
      <c r="G126" s="344"/>
      <c r="H126" s="344"/>
      <c r="I126" s="344"/>
      <c r="J126" s="344"/>
      <c r="K126" s="344"/>
      <c r="L126" s="344"/>
      <c r="M126" s="344"/>
      <c r="N126" s="344"/>
      <c r="O126" s="344"/>
      <c r="P126" s="344"/>
    </row>
    <row r="127" spans="1:34" ht="28.5" customHeight="1" x14ac:dyDescent="0.25">
      <c r="A127" s="344"/>
      <c r="B127" s="1843" t="s">
        <v>1383</v>
      </c>
      <c r="C127" s="1843"/>
      <c r="D127" s="1843"/>
      <c r="E127" s="1956"/>
      <c r="F127" s="1957"/>
      <c r="G127" s="344"/>
      <c r="H127" s="344"/>
      <c r="I127" s="344"/>
      <c r="J127" s="344"/>
      <c r="K127" s="344"/>
      <c r="L127" s="344"/>
      <c r="M127" s="344"/>
      <c r="N127" s="344"/>
      <c r="O127" s="344"/>
      <c r="P127" s="344"/>
    </row>
    <row r="128" spans="1:34" ht="27" customHeight="1" x14ac:dyDescent="0.25">
      <c r="A128" s="344"/>
      <c r="B128" s="1843" t="s">
        <v>1381</v>
      </c>
      <c r="C128" s="1843"/>
      <c r="D128" s="1843"/>
      <c r="E128" s="1947"/>
      <c r="F128" s="1948"/>
      <c r="G128" s="1948"/>
      <c r="H128" s="1948"/>
      <c r="I128" s="1948"/>
      <c r="J128" s="1948"/>
      <c r="K128" s="1948"/>
      <c r="L128" s="1948"/>
      <c r="M128" s="1949"/>
      <c r="N128" s="344"/>
      <c r="O128" s="344"/>
      <c r="P128" s="344"/>
    </row>
    <row r="129" spans="1:16" x14ac:dyDescent="0.25">
      <c r="A129" s="344"/>
      <c r="B129" s="344"/>
      <c r="C129" s="344"/>
      <c r="D129" s="344"/>
      <c r="E129" s="344"/>
      <c r="F129" s="344"/>
      <c r="G129" s="344"/>
      <c r="H129" s="344"/>
      <c r="I129" s="344"/>
      <c r="J129" s="344"/>
      <c r="K129" s="344"/>
      <c r="L129" s="344"/>
      <c r="M129" s="344"/>
      <c r="N129" s="344"/>
      <c r="O129" s="344"/>
      <c r="P129" s="344"/>
    </row>
    <row r="130" spans="1:16" ht="21" customHeight="1" x14ac:dyDescent="0.25">
      <c r="A130" s="344"/>
      <c r="B130" s="1950" t="s">
        <v>480</v>
      </c>
      <c r="C130" s="1950"/>
      <c r="D130" s="1950"/>
      <c r="E130" s="1950"/>
      <c r="F130" s="163" t="str">
        <f>IF(C124=0,"",(J124-E127)/C124)</f>
        <v/>
      </c>
      <c r="G130" s="344"/>
      <c r="H130" s="344"/>
      <c r="I130" s="344"/>
      <c r="J130" s="344"/>
      <c r="K130" s="344"/>
      <c r="L130" s="344"/>
      <c r="M130" s="344"/>
      <c r="N130" s="344"/>
      <c r="O130" s="344"/>
      <c r="P130" s="344"/>
    </row>
    <row r="131" spans="1:16" x14ac:dyDescent="0.25">
      <c r="A131" s="344"/>
      <c r="B131" s="344"/>
      <c r="C131" s="344"/>
      <c r="D131" s="344"/>
      <c r="E131" s="344"/>
      <c r="F131" s="344"/>
      <c r="G131" s="344"/>
      <c r="H131" s="344"/>
      <c r="I131" s="344"/>
      <c r="J131" s="344"/>
      <c r="K131" s="344"/>
      <c r="L131" s="344"/>
      <c r="M131" s="344"/>
      <c r="N131" s="344"/>
      <c r="O131" s="344"/>
      <c r="P131" s="344"/>
    </row>
    <row r="132" spans="1:16" x14ac:dyDescent="0.25">
      <c r="A132" s="344"/>
      <c r="B132" s="348" t="s">
        <v>1384</v>
      </c>
      <c r="C132" s="344"/>
      <c r="D132" s="344"/>
      <c r="E132" s="344"/>
      <c r="F132" s="344"/>
      <c r="G132" s="344"/>
      <c r="H132" s="344"/>
      <c r="I132" s="344"/>
      <c r="J132" s="344"/>
      <c r="K132" s="344"/>
      <c r="L132" s="344"/>
      <c r="M132" s="344"/>
      <c r="N132" s="344"/>
      <c r="O132" s="344"/>
      <c r="P132" s="344"/>
    </row>
    <row r="133" spans="1:16" ht="12" customHeight="1" x14ac:dyDescent="0.25">
      <c r="A133" s="344"/>
      <c r="B133" s="344"/>
      <c r="C133" s="344"/>
      <c r="D133" s="344"/>
      <c r="E133" s="344"/>
      <c r="F133" s="344"/>
      <c r="G133" s="344"/>
      <c r="H133" s="344"/>
      <c r="I133" s="344"/>
      <c r="J133" s="344"/>
      <c r="K133" s="344"/>
      <c r="L133" s="344"/>
      <c r="M133" s="344"/>
      <c r="N133" s="344"/>
      <c r="O133" s="344"/>
      <c r="P133" s="344"/>
    </row>
    <row r="134" spans="1:16" ht="21" customHeight="1" x14ac:dyDescent="0.25">
      <c r="A134" s="344"/>
      <c r="B134" s="1950" t="s">
        <v>481</v>
      </c>
      <c r="C134" s="1950"/>
      <c r="D134" s="1950"/>
      <c r="E134" s="1950"/>
      <c r="F134" s="164" t="str">
        <f>IFERROR(1-(F130/1.1),"")</f>
        <v/>
      </c>
      <c r="G134" s="344"/>
      <c r="H134" s="344"/>
      <c r="I134" s="344"/>
      <c r="J134" s="344"/>
      <c r="K134" s="344"/>
      <c r="L134" s="344"/>
      <c r="M134" s="344"/>
      <c r="N134" s="344"/>
      <c r="O134" s="344"/>
      <c r="P134" s="344"/>
    </row>
    <row r="135" spans="1:16" ht="18" customHeight="1" x14ac:dyDescent="0.25">
      <c r="A135" s="344"/>
      <c r="B135" s="344"/>
      <c r="C135" s="344"/>
      <c r="D135" s="344"/>
      <c r="E135" s="344"/>
      <c r="F135" s="344"/>
      <c r="G135" s="344"/>
      <c r="H135" s="344"/>
      <c r="I135" s="344"/>
      <c r="J135" s="344"/>
      <c r="K135" s="344"/>
      <c r="L135" s="344"/>
      <c r="M135" s="344"/>
      <c r="N135" s="344"/>
      <c r="O135" s="344"/>
      <c r="P135" s="344"/>
    </row>
    <row r="136" spans="1:16" ht="16.5" customHeight="1" x14ac:dyDescent="0.25">
      <c r="A136" s="270" t="s">
        <v>186</v>
      </c>
      <c r="B136" s="65"/>
      <c r="C136" s="65"/>
      <c r="D136" s="344"/>
      <c r="E136" s="344"/>
      <c r="F136" s="344"/>
      <c r="G136" s="344"/>
      <c r="H136" s="344"/>
      <c r="I136" s="344"/>
      <c r="J136" s="344"/>
      <c r="K136" s="344"/>
      <c r="L136" s="344"/>
      <c r="M136" s="344"/>
      <c r="N136" s="344"/>
      <c r="O136" s="344"/>
      <c r="P136" s="344"/>
    </row>
    <row r="137" spans="1:16" x14ac:dyDescent="0.25">
      <c r="A137" s="344"/>
      <c r="B137" s="344"/>
      <c r="C137" s="344"/>
      <c r="D137" s="344"/>
      <c r="E137" s="344"/>
      <c r="F137" s="344"/>
      <c r="G137" s="344"/>
      <c r="H137" s="344"/>
      <c r="I137" s="344"/>
      <c r="J137" s="344"/>
      <c r="K137" s="344"/>
      <c r="L137" s="344"/>
      <c r="M137" s="344"/>
      <c r="N137" s="344"/>
      <c r="O137" s="344"/>
      <c r="P137" s="344"/>
    </row>
    <row r="138" spans="1:16" ht="18" customHeight="1" x14ac:dyDescent="0.25">
      <c r="A138" s="344"/>
      <c r="B138" s="1929" t="s">
        <v>1739</v>
      </c>
      <c r="C138" s="1930"/>
      <c r="D138" s="1930"/>
      <c r="E138" s="1930"/>
      <c r="F138" s="1930"/>
      <c r="G138" s="1930"/>
      <c r="H138" s="1930"/>
      <c r="I138" s="1930"/>
      <c r="J138" s="1922" t="s">
        <v>1737</v>
      </c>
      <c r="K138" s="1922"/>
      <c r="L138" s="1922" t="s">
        <v>1738</v>
      </c>
      <c r="M138" s="1922"/>
      <c r="N138" s="344"/>
      <c r="O138" s="344"/>
      <c r="P138" s="344"/>
    </row>
    <row r="139" spans="1:16" ht="24" customHeight="1" x14ac:dyDescent="0.25">
      <c r="A139" s="344"/>
      <c r="B139" s="1576" t="s">
        <v>1070</v>
      </c>
      <c r="C139" s="1577"/>
      <c r="D139" s="1577"/>
      <c r="E139" s="1577"/>
      <c r="F139" s="1577"/>
      <c r="G139" s="1577"/>
      <c r="H139" s="1577"/>
      <c r="I139" s="1578"/>
      <c r="J139" s="1763" t="s">
        <v>124</v>
      </c>
      <c r="K139" s="1841"/>
      <c r="L139" s="1587"/>
      <c r="M139" s="1588"/>
      <c r="N139" s="344"/>
      <c r="O139" s="344"/>
      <c r="P139" s="344"/>
    </row>
    <row r="140" spans="1:16" ht="30" customHeight="1" x14ac:dyDescent="0.25">
      <c r="A140" s="344"/>
      <c r="B140" s="1576" t="s">
        <v>1071</v>
      </c>
      <c r="C140" s="1577"/>
      <c r="D140" s="1577"/>
      <c r="E140" s="1577"/>
      <c r="F140" s="1577"/>
      <c r="G140" s="1577"/>
      <c r="H140" s="1577"/>
      <c r="I140" s="1578"/>
      <c r="J140" s="1763" t="s">
        <v>124</v>
      </c>
      <c r="K140" s="1841"/>
      <c r="L140" s="1587"/>
      <c r="M140" s="1588"/>
      <c r="N140" s="344"/>
      <c r="O140" s="344"/>
      <c r="P140" s="344"/>
    </row>
    <row r="141" spans="1:16" ht="24" customHeight="1" x14ac:dyDescent="0.25">
      <c r="A141" s="344"/>
      <c r="B141" s="1576" t="s">
        <v>1072</v>
      </c>
      <c r="C141" s="1577"/>
      <c r="D141" s="1577"/>
      <c r="E141" s="1577"/>
      <c r="F141" s="1577"/>
      <c r="G141" s="1577"/>
      <c r="H141" s="1577"/>
      <c r="I141" s="1578"/>
      <c r="J141" s="1763" t="s">
        <v>124</v>
      </c>
      <c r="K141" s="1841"/>
      <c r="L141" s="1587"/>
      <c r="M141" s="1588"/>
      <c r="N141" s="344"/>
      <c r="O141" s="344"/>
      <c r="P141" s="344"/>
    </row>
    <row r="142" spans="1:16" ht="18.75" customHeight="1" x14ac:dyDescent="0.25">
      <c r="A142" s="344"/>
      <c r="B142" s="344"/>
      <c r="C142" s="344"/>
      <c r="D142" s="344"/>
      <c r="E142" s="344"/>
      <c r="F142" s="344"/>
      <c r="G142" s="344"/>
      <c r="H142" s="344"/>
      <c r="I142" s="344"/>
      <c r="J142" s="344"/>
      <c r="K142" s="344"/>
      <c r="L142" s="344"/>
      <c r="M142" s="344"/>
      <c r="N142" s="344"/>
      <c r="O142" s="344"/>
      <c r="P142" s="344"/>
    </row>
    <row r="143" spans="1:16" ht="16.5" customHeight="1" x14ac:dyDescent="0.25">
      <c r="A143" s="270" t="s">
        <v>22</v>
      </c>
      <c r="B143" s="65"/>
      <c r="C143" s="65"/>
      <c r="D143" s="344"/>
      <c r="E143" s="344"/>
      <c r="F143" s="344"/>
      <c r="G143" s="344"/>
      <c r="H143" s="344"/>
      <c r="I143" s="344"/>
      <c r="J143" s="344"/>
      <c r="K143" s="344"/>
      <c r="L143" s="344"/>
      <c r="M143" s="344"/>
      <c r="N143" s="344"/>
      <c r="O143" s="344"/>
      <c r="P143" s="344"/>
    </row>
    <row r="144" spans="1:16" x14ac:dyDescent="0.25">
      <c r="A144" s="344"/>
      <c r="B144" s="344"/>
      <c r="C144" s="344"/>
      <c r="D144" s="344"/>
      <c r="E144" s="344"/>
      <c r="F144" s="344"/>
      <c r="G144" s="344"/>
      <c r="H144" s="344"/>
      <c r="I144" s="344"/>
      <c r="J144" s="344"/>
      <c r="K144" s="344"/>
      <c r="L144" s="344"/>
      <c r="M144" s="344"/>
      <c r="N144" s="344"/>
      <c r="O144" s="344"/>
      <c r="P144" s="344"/>
    </row>
    <row r="145" spans="1:16" ht="18" customHeight="1" x14ac:dyDescent="0.25">
      <c r="A145" s="344"/>
      <c r="B145" s="295" t="s">
        <v>53</v>
      </c>
      <c r="C145" s="1954">
        <f>IF(F134="",0,IF(F134&gt;=0.8,2,IF(F134&gt;=0.5,1,0)))</f>
        <v>0</v>
      </c>
      <c r="D145" s="1955"/>
      <c r="E145" s="344"/>
      <c r="F145" s="344"/>
      <c r="G145" s="344"/>
      <c r="H145" s="344"/>
      <c r="I145" s="344"/>
      <c r="J145" s="344"/>
      <c r="K145" s="344"/>
      <c r="L145" s="344"/>
      <c r="M145" s="344"/>
      <c r="N145" s="344"/>
      <c r="O145" s="344"/>
      <c r="P145" s="344"/>
    </row>
    <row r="146" spans="1:16" ht="18" customHeight="1" x14ac:dyDescent="0.25">
      <c r="A146" s="344"/>
      <c r="B146" s="186" t="s">
        <v>492</v>
      </c>
      <c r="C146" s="1954" t="str">
        <f>IF(AND(COUNTIF(J139:K141,"Submitted")=3,C145&gt;0),"Yes","No")</f>
        <v>No</v>
      </c>
      <c r="D146" s="1955"/>
      <c r="E146" s="344"/>
      <c r="F146" s="344"/>
      <c r="G146" s="344"/>
      <c r="H146" s="344"/>
      <c r="I146" s="344"/>
      <c r="J146" s="344"/>
      <c r="K146" s="344"/>
      <c r="L146" s="344"/>
      <c r="M146" s="344"/>
      <c r="N146" s="344"/>
      <c r="O146" s="344"/>
      <c r="P146" s="344"/>
    </row>
    <row r="147" spans="1:16" ht="19.5" customHeight="1" x14ac:dyDescent="0.25">
      <c r="A147" s="344"/>
      <c r="B147" s="344"/>
      <c r="C147" s="344"/>
      <c r="D147" s="344"/>
      <c r="E147" s="344"/>
      <c r="F147" s="344"/>
      <c r="G147" s="344"/>
      <c r="H147" s="344"/>
      <c r="I147" s="344"/>
      <c r="J147" s="344"/>
      <c r="K147" s="344"/>
      <c r="L147" s="344"/>
      <c r="M147" s="344"/>
      <c r="N147" s="344"/>
      <c r="O147" s="344"/>
      <c r="P147" s="344"/>
    </row>
    <row r="148" spans="1:16" ht="15" hidden="1" customHeight="1" x14ac:dyDescent="0.25"/>
    <row r="149" spans="1:16" ht="15" hidden="1" customHeight="1" x14ac:dyDescent="0.25"/>
    <row r="150" spans="1:16" ht="15" hidden="1" customHeight="1" x14ac:dyDescent="0.25"/>
    <row r="151" spans="1:16" ht="15" hidden="1" customHeight="1" x14ac:dyDescent="0.25"/>
    <row r="152" spans="1:16" ht="15" hidden="1" customHeight="1" x14ac:dyDescent="0.25"/>
    <row r="153" spans="1:16" ht="15" hidden="1" customHeight="1" x14ac:dyDescent="0.25"/>
    <row r="154" spans="1:16" ht="15" hidden="1" customHeight="1" x14ac:dyDescent="0.25"/>
    <row r="155" spans="1:16" ht="15" hidden="1" customHeight="1" x14ac:dyDescent="0.25"/>
    <row r="156" spans="1:16" ht="15" hidden="1" customHeight="1" x14ac:dyDescent="0.25"/>
    <row r="157" spans="1:16" ht="15" hidden="1" customHeight="1" x14ac:dyDescent="0.25"/>
    <row r="158" spans="1:16" ht="15" hidden="1" customHeight="1" x14ac:dyDescent="0.25"/>
    <row r="159" spans="1:16" ht="15" hidden="1" customHeight="1" x14ac:dyDescent="0.25"/>
    <row r="160" spans="1:16"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sheetData>
  <sheetProtection algorithmName="SHA-512" hashValue="xeAc1UJevYZCBKC72242nN9VupBn8eK1oL9C/9Mq0TYpR5+yELQ24W1jZ95GG6XMDEzYS5tbg/ixGvXeDFzLMQ==" saltValue="g6szQgf7A7xSpOZmoRAk9Q==" spinCount="100000" sheet="1" objects="1" scenarios="1"/>
  <mergeCells count="109">
    <mergeCell ref="B52:D52"/>
    <mergeCell ref="I59:J59"/>
    <mergeCell ref="E42:F42"/>
    <mergeCell ref="B48:D48"/>
    <mergeCell ref="B43:D43"/>
    <mergeCell ref="E43:F43"/>
    <mergeCell ref="B44:D44"/>
    <mergeCell ref="E44:M44"/>
    <mergeCell ref="E47:F47"/>
    <mergeCell ref="E48:F48"/>
    <mergeCell ref="B50:D50"/>
    <mergeCell ref="B51:D51"/>
    <mergeCell ref="K59:L59"/>
    <mergeCell ref="E52:F52"/>
    <mergeCell ref="C146:D146"/>
    <mergeCell ref="C89:D89"/>
    <mergeCell ref="C90:D90"/>
    <mergeCell ref="B140:I140"/>
    <mergeCell ref="B141:I141"/>
    <mergeCell ref="E127:F127"/>
    <mergeCell ref="A108:C108"/>
    <mergeCell ref="A94:C94"/>
    <mergeCell ref="B127:D127"/>
    <mergeCell ref="A92:P92"/>
    <mergeCell ref="J139:K139"/>
    <mergeCell ref="H123:I123"/>
    <mergeCell ref="B126:D126"/>
    <mergeCell ref="E126:F126"/>
    <mergeCell ref="B128:D128"/>
    <mergeCell ref="E128:M128"/>
    <mergeCell ref="C145:D145"/>
    <mergeCell ref="C110:D110"/>
    <mergeCell ref="H117:I117"/>
    <mergeCell ref="H118:I118"/>
    <mergeCell ref="J141:K141"/>
    <mergeCell ref="L141:M141"/>
    <mergeCell ref="J138:K138"/>
    <mergeCell ref="B130:E130"/>
    <mergeCell ref="B139:I139"/>
    <mergeCell ref="B138:I138"/>
    <mergeCell ref="L139:M139"/>
    <mergeCell ref="L140:M140"/>
    <mergeCell ref="E53:F53"/>
    <mergeCell ref="B53:D53"/>
    <mergeCell ref="J140:K140"/>
    <mergeCell ref="H120:I120"/>
    <mergeCell ref="H121:I121"/>
    <mergeCell ref="H122:I122"/>
    <mergeCell ref="B59:H59"/>
    <mergeCell ref="E78:M78"/>
    <mergeCell ref="B134:E134"/>
    <mergeCell ref="I60:J60"/>
    <mergeCell ref="B55:D55"/>
    <mergeCell ref="B80:D80"/>
    <mergeCell ref="E55:F55"/>
    <mergeCell ref="C64:D64"/>
    <mergeCell ref="C65:D65"/>
    <mergeCell ref="I85:J85"/>
    <mergeCell ref="H119:I119"/>
    <mergeCell ref="K85:L85"/>
    <mergeCell ref="B78:D78"/>
    <mergeCell ref="A23:P23"/>
    <mergeCell ref="L14:M14"/>
    <mergeCell ref="J18:K18"/>
    <mergeCell ref="L18:M18"/>
    <mergeCell ref="B19:G19"/>
    <mergeCell ref="B47:D47"/>
    <mergeCell ref="N2:O4"/>
    <mergeCell ref="E11:F11"/>
    <mergeCell ref="J13:K13"/>
    <mergeCell ref="J15:K15"/>
    <mergeCell ref="L13:M13"/>
    <mergeCell ref="L15:M15"/>
    <mergeCell ref="H13:I13"/>
    <mergeCell ref="H15:I15"/>
    <mergeCell ref="B15:G15"/>
    <mergeCell ref="B11:D11"/>
    <mergeCell ref="B13:G13"/>
    <mergeCell ref="A5:P7"/>
    <mergeCell ref="B14:G14"/>
    <mergeCell ref="H14:I14"/>
    <mergeCell ref="J14:K14"/>
    <mergeCell ref="A9:P9"/>
    <mergeCell ref="L19:M19"/>
    <mergeCell ref="H19:I19"/>
    <mergeCell ref="J19:K19"/>
    <mergeCell ref="B42:D42"/>
    <mergeCell ref="L138:M138"/>
    <mergeCell ref="L16:M16"/>
    <mergeCell ref="J16:K16"/>
    <mergeCell ref="H16:I16"/>
    <mergeCell ref="B16:G16"/>
    <mergeCell ref="B84:H84"/>
    <mergeCell ref="I84:J84"/>
    <mergeCell ref="K84:L84"/>
    <mergeCell ref="K60:L60"/>
    <mergeCell ref="B71:J71"/>
    <mergeCell ref="B77:D77"/>
    <mergeCell ref="E77:F77"/>
    <mergeCell ref="A67:P67"/>
    <mergeCell ref="B85:H85"/>
    <mergeCell ref="B60:H60"/>
    <mergeCell ref="B18:G18"/>
    <mergeCell ref="H18:I18"/>
    <mergeCell ref="B49:D49"/>
    <mergeCell ref="E49:F49"/>
    <mergeCell ref="E50:F50"/>
    <mergeCell ref="E51:F51"/>
    <mergeCell ref="A21:P21"/>
  </mergeCells>
  <conditionalFormatting sqref="B15">
    <cfRule type="expression" dxfId="289" priority="95">
      <formula>$D$15="Performance Path"</formula>
    </cfRule>
  </conditionalFormatting>
  <conditionalFormatting sqref="H15 L15">
    <cfRule type="expression" dxfId="288" priority="83">
      <formula>OR(#REF!="No",#REF!="Không")</formula>
    </cfRule>
  </conditionalFormatting>
  <conditionalFormatting sqref="B89">
    <cfRule type="expression" dxfId="287" priority="65">
      <formula>#REF!&lt;&gt;"Prescriptive Path"</formula>
    </cfRule>
  </conditionalFormatting>
  <conditionalFormatting sqref="B145:C145">
    <cfRule type="expression" dxfId="286" priority="64">
      <formula>#REF!&lt;&gt;"Prescriptive Path"</formula>
    </cfRule>
  </conditionalFormatting>
  <conditionalFormatting sqref="B47">
    <cfRule type="expression" dxfId="285" priority="63">
      <formula>#REF!&lt;&gt;"Prescriptive Path"</formula>
    </cfRule>
  </conditionalFormatting>
  <conditionalFormatting sqref="E47">
    <cfRule type="expression" dxfId="284" priority="62">
      <formula>#REF!&lt;&gt;"Prescriptive Path"</formula>
    </cfRule>
  </conditionalFormatting>
  <conditionalFormatting sqref="E48:E53">
    <cfRule type="expression" dxfId="283" priority="53">
      <formula>#REF!&lt;&gt;"Prescriptive Path"</formula>
    </cfRule>
  </conditionalFormatting>
  <conditionalFormatting sqref="B48">
    <cfRule type="expression" dxfId="282" priority="54">
      <formula>#REF!&lt;&gt;"Prescriptive Path"</formula>
    </cfRule>
  </conditionalFormatting>
  <conditionalFormatting sqref="H15">
    <cfRule type="expression" dxfId="281" priority="501">
      <formula>OR($D15="No",$D15="Không")</formula>
    </cfRule>
    <cfRule type="expression" dxfId="280" priority="502">
      <formula>OR(#REF!="No",#REF!="Không")</formula>
    </cfRule>
  </conditionalFormatting>
  <conditionalFormatting sqref="L15">
    <cfRule type="expression" dxfId="279" priority="505">
      <formula>OR($D15="No",$D15="Không")</formula>
    </cfRule>
    <cfRule type="expression" dxfId="278" priority="506">
      <formula>OR(#REF!="No",#REF!="Không")</formula>
    </cfRule>
  </conditionalFormatting>
  <conditionalFormatting sqref="B19">
    <cfRule type="expression" dxfId="277" priority="42">
      <formula>$D$15="Performance Path"</formula>
    </cfRule>
  </conditionalFormatting>
  <conditionalFormatting sqref="H19 J19 L19">
    <cfRule type="expression" dxfId="276" priority="41">
      <formula>OR(#REF!="No",#REF!="Không")</formula>
    </cfRule>
  </conditionalFormatting>
  <conditionalFormatting sqref="H19">
    <cfRule type="expression" dxfId="275" priority="43">
      <formula>OR($D19="No",$D19="Không")</formula>
    </cfRule>
    <cfRule type="expression" dxfId="274" priority="44">
      <formula>OR(#REF!="No",#REF!="Không")</formula>
    </cfRule>
  </conditionalFormatting>
  <conditionalFormatting sqref="J19">
    <cfRule type="expression" dxfId="273" priority="45">
      <formula>OR($D19="No",$D19="Không")</formula>
    </cfRule>
    <cfRule type="expression" dxfId="272" priority="46">
      <formula>OR(#REF!="No",#REF!="Không")</formula>
    </cfRule>
  </conditionalFormatting>
  <conditionalFormatting sqref="L19">
    <cfRule type="expression" dxfId="271" priority="47">
      <formula>OR($D19="No",$D19="Không")</formula>
    </cfRule>
    <cfRule type="expression" dxfId="270" priority="48">
      <formula>OR(#REF!="No",#REF!="Không")</formula>
    </cfRule>
  </conditionalFormatting>
  <conditionalFormatting sqref="E44">
    <cfRule type="expression" dxfId="269" priority="28">
      <formula>#REF!&lt;&gt;"Prescriptive Path"</formula>
    </cfRule>
  </conditionalFormatting>
  <conditionalFormatting sqref="E55">
    <cfRule type="expression" dxfId="268" priority="27">
      <formula>#REF!&lt;&gt;"Prescriptive Path"</formula>
    </cfRule>
  </conditionalFormatting>
  <conditionalFormatting sqref="E80">
    <cfRule type="expression" dxfId="267" priority="26">
      <formula>#REF!&lt;&gt;"Prescriptive Path"</formula>
    </cfRule>
  </conditionalFormatting>
  <conditionalFormatting sqref="B64">
    <cfRule type="expression" dxfId="266" priority="25">
      <formula>#REF!&lt;&gt;"Prescriptive Path"</formula>
    </cfRule>
  </conditionalFormatting>
  <conditionalFormatting sqref="B14">
    <cfRule type="expression" dxfId="265" priority="18">
      <formula>$D$15="Performance Path"</formula>
    </cfRule>
  </conditionalFormatting>
  <conditionalFormatting sqref="H14 J14 L14">
    <cfRule type="expression" dxfId="264" priority="17">
      <formula>OR(#REF!="No",#REF!="Không")</formula>
    </cfRule>
  </conditionalFormatting>
  <conditionalFormatting sqref="H14">
    <cfRule type="expression" dxfId="263" priority="19">
      <formula>OR($D14="No",$D14="Không")</formula>
    </cfRule>
    <cfRule type="expression" dxfId="262" priority="20">
      <formula>OR(#REF!="No",#REF!="Không")</formula>
    </cfRule>
  </conditionalFormatting>
  <conditionalFormatting sqref="J14">
    <cfRule type="expression" dxfId="261" priority="21">
      <formula>OR($D14="No",$D14="Không")</formula>
    </cfRule>
    <cfRule type="expression" dxfId="260" priority="22">
      <formula>OR(#REF!="No",#REF!="Không")</formula>
    </cfRule>
  </conditionalFormatting>
  <conditionalFormatting sqref="L14">
    <cfRule type="expression" dxfId="259" priority="23">
      <formula>OR($D14="No",$D14="Không")</formula>
    </cfRule>
    <cfRule type="expression" dxfId="258" priority="24">
      <formula>OR(#REF!="No",#REF!="Không")</formula>
    </cfRule>
  </conditionalFormatting>
  <conditionalFormatting sqref="J15">
    <cfRule type="expression" dxfId="257" priority="14">
      <formula>OR(#REF!="No",#REF!="Không")</formula>
    </cfRule>
  </conditionalFormatting>
  <conditionalFormatting sqref="J15">
    <cfRule type="expression" dxfId="256" priority="15">
      <formula>OR($D15="No",$D15="Không")</formula>
    </cfRule>
    <cfRule type="expression" dxfId="255" priority="16">
      <formula>OR(#REF!="No",#REF!="Không")</formula>
    </cfRule>
  </conditionalFormatting>
  <conditionalFormatting sqref="B48">
    <cfRule type="expression" dxfId="254" priority="13">
      <formula>#REF!&lt;&gt;"Prescriptive Path"</formula>
    </cfRule>
  </conditionalFormatting>
  <conditionalFormatting sqref="B49">
    <cfRule type="expression" dxfId="253" priority="12">
      <formula>#REF!&lt;&gt;"Prescriptive Path"</formula>
    </cfRule>
  </conditionalFormatting>
  <conditionalFormatting sqref="B49">
    <cfRule type="expression" dxfId="252" priority="11">
      <formula>#REF!&lt;&gt;"Prescriptive Path"</formula>
    </cfRule>
  </conditionalFormatting>
  <conditionalFormatting sqref="B50">
    <cfRule type="expression" dxfId="251" priority="10">
      <formula>#REF!&lt;&gt;"Prescriptive Path"</formula>
    </cfRule>
  </conditionalFormatting>
  <conditionalFormatting sqref="B50">
    <cfRule type="expression" dxfId="250" priority="9">
      <formula>#REF!&lt;&gt;"Prescriptive Path"</formula>
    </cfRule>
  </conditionalFormatting>
  <conditionalFormatting sqref="B51">
    <cfRule type="expression" dxfId="249" priority="8">
      <formula>#REF!&lt;&gt;"Prescriptive Path"</formula>
    </cfRule>
  </conditionalFormatting>
  <conditionalFormatting sqref="B51">
    <cfRule type="expression" dxfId="248" priority="7">
      <formula>#REF!&lt;&gt;"Prescriptive Path"</formula>
    </cfRule>
  </conditionalFormatting>
  <conditionalFormatting sqref="B52">
    <cfRule type="expression" dxfId="247" priority="6">
      <formula>#REF!&lt;&gt;"Prescriptive Path"</formula>
    </cfRule>
  </conditionalFormatting>
  <conditionalFormatting sqref="B52">
    <cfRule type="expression" dxfId="246" priority="5">
      <formula>#REF!&lt;&gt;"Prescriptive Path"</formula>
    </cfRule>
  </conditionalFormatting>
  <conditionalFormatting sqref="B53">
    <cfRule type="expression" dxfId="245" priority="4">
      <formula>#REF!&lt;&gt;"Prescriptive Path"</formula>
    </cfRule>
  </conditionalFormatting>
  <conditionalFormatting sqref="B53">
    <cfRule type="expression" dxfId="244" priority="3">
      <formula>#REF!&lt;&gt;"Prescriptive Path"</formula>
    </cfRule>
  </conditionalFormatting>
  <conditionalFormatting sqref="C64:C65">
    <cfRule type="expression" dxfId="243" priority="2">
      <formula>#REF!&lt;&gt;"Prescriptive Path"</formula>
    </cfRule>
  </conditionalFormatting>
  <conditionalFormatting sqref="C89">
    <cfRule type="expression" dxfId="242" priority="1">
      <formula>#REF!&lt;&gt;"Prescriptive Path"</formula>
    </cfRule>
  </conditionalFormatting>
  <dataValidations count="5">
    <dataValidation type="list" allowBlank="1" showInputMessage="1" showErrorMessage="1" sqref="E11" xr:uid="{00000000-0002-0000-1600-000000000000}">
      <formula1>"Select,Prescriptive Path, Performance Path"</formula1>
    </dataValidation>
    <dataValidation type="list" allowBlank="1" showInputMessage="1" showErrorMessage="1" sqref="C110" xr:uid="{00000000-0002-0000-1600-000001000000}">
      <formula1>Locations</formula1>
    </dataValidation>
    <dataValidation type="list" allowBlank="1" showInputMessage="1" showErrorMessage="1" sqref="I85:J85 J139:K141 I60:J60" xr:uid="{00000000-0002-0000-1600-000002000000}">
      <formula1>"Select,Submitted,Not submitted"</formula1>
    </dataValidation>
    <dataValidation type="list" allowBlank="1" showInputMessage="1" showErrorMessage="1" sqref="E48:F53" xr:uid="{00000000-0002-0000-1600-000003000000}">
      <formula1>"Select,Native/climate adapted, Non-native/climate adapted "</formula1>
    </dataValidation>
    <dataValidation type="list" allowBlank="1" showInputMessage="1" showErrorMessage="1" sqref="E77:F77 E43:F43 E126:F126" xr:uid="{00000000-0002-0000-1600-000004000000}">
      <formula1>"Select,Yes,No"</formula1>
    </dataValidation>
  </dataValidations>
  <hyperlinks>
    <hyperlink ref="P2" location="'W-1 Water Efficient Fixtures'!B3" tooltip="W-1" display="W-1" xr:uid="{00000000-0004-0000-1600-000000000000}"/>
    <hyperlink ref="P3" location="'W-3 Drinking Water '!B3" tooltip="W-3" display="W-3" xr:uid="{00000000-0004-0000-1600-000001000000}"/>
    <hyperlink ref="P4" location="'Water BPC'!D3" tooltip="BPC" display="BPC" xr:uid="{00000000-0004-0000-1600-000002000000}"/>
  </hyperlinks>
  <pageMargins left="0.7" right="0.7" top="0.75" bottom="0.75" header="0.3" footer="0.3"/>
  <pageSetup orientation="portrait" horizontalDpi="300" verticalDpi="0"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1">
    <tabColor rgb="FF0563C1"/>
  </sheetPr>
  <dimension ref="A1:Q204"/>
  <sheetViews>
    <sheetView showRowColHeaders="0" workbookViewId="0">
      <pane ySplit="8" topLeftCell="A9" activePane="bottomLeft" state="frozen"/>
      <selection pane="bottomLeft" activeCell="A9" sqref="A9:Q9"/>
    </sheetView>
  </sheetViews>
  <sheetFormatPr defaultColWidth="0" defaultRowHeight="15" customHeight="1" zeroHeight="1" x14ac:dyDescent="0.25"/>
  <cols>
    <col min="1" max="1" width="5" style="38" customWidth="1"/>
    <col min="2" max="3" width="18.7109375" style="38" customWidth="1"/>
    <col min="4" max="5" width="16.7109375" style="38" customWidth="1"/>
    <col min="6" max="6" width="19" style="38" customWidth="1"/>
    <col min="7" max="7" width="20.28515625" style="38" customWidth="1"/>
    <col min="8" max="8" width="22.42578125" style="38" customWidth="1"/>
    <col min="9" max="9" width="13.5703125" style="38" customWidth="1"/>
    <col min="10" max="10" width="11.28515625" style="38" customWidth="1"/>
    <col min="11" max="11" width="8.85546875" style="38" customWidth="1"/>
    <col min="12" max="16384" width="9.140625" style="38" hidden="1"/>
  </cols>
  <sheetData>
    <row r="1" spans="1:17" ht="23.25" x14ac:dyDescent="0.25">
      <c r="A1" s="1960" t="s">
        <v>244</v>
      </c>
      <c r="B1" s="1960"/>
      <c r="C1" s="1960"/>
      <c r="D1" s="1960"/>
      <c r="E1" s="1960"/>
      <c r="F1" s="1960"/>
      <c r="G1" s="109"/>
      <c r="H1" s="109"/>
      <c r="I1" s="109"/>
      <c r="J1" s="109"/>
      <c r="K1" s="109"/>
      <c r="L1" s="109"/>
    </row>
    <row r="2" spans="1:17" ht="15" customHeight="1" x14ac:dyDescent="0.25">
      <c r="A2" s="50"/>
      <c r="B2" s="50"/>
      <c r="C2" s="50"/>
      <c r="D2" s="50"/>
      <c r="E2" s="50"/>
      <c r="F2" s="50"/>
      <c r="G2" s="49"/>
      <c r="H2" s="1585" t="s">
        <v>2011</v>
      </c>
      <c r="I2" s="1585"/>
      <c r="J2" s="1585"/>
      <c r="K2" s="216" t="s">
        <v>85</v>
      </c>
      <c r="L2" s="212"/>
      <c r="M2" s="49"/>
    </row>
    <row r="3" spans="1:17" ht="15" customHeight="1" x14ac:dyDescent="0.25">
      <c r="A3" s="50"/>
      <c r="B3" s="50"/>
      <c r="C3" s="50"/>
      <c r="D3" s="50"/>
      <c r="E3" s="50"/>
      <c r="F3" s="50"/>
      <c r="G3" s="49"/>
      <c r="H3" s="1585"/>
      <c r="I3" s="1585"/>
      <c r="J3" s="1585"/>
      <c r="K3" s="216" t="s">
        <v>90</v>
      </c>
      <c r="L3" s="212"/>
      <c r="M3" s="49"/>
    </row>
    <row r="4" spans="1:17" ht="15" customHeight="1" x14ac:dyDescent="0.25">
      <c r="A4" s="50"/>
      <c r="B4" s="50"/>
      <c r="C4" s="50"/>
      <c r="D4" s="50"/>
      <c r="E4" s="50"/>
      <c r="F4" s="50"/>
      <c r="G4" s="49"/>
      <c r="H4" s="1586"/>
      <c r="I4" s="1586"/>
      <c r="J4" s="1586"/>
      <c r="K4" s="216" t="s">
        <v>76</v>
      </c>
      <c r="L4" s="212"/>
      <c r="M4" s="49"/>
    </row>
    <row r="5" spans="1:17" ht="17.25" customHeight="1" x14ac:dyDescent="0.25">
      <c r="A5" s="1600" t="s">
        <v>2514</v>
      </c>
      <c r="B5" s="1601"/>
      <c r="C5" s="1601"/>
      <c r="D5" s="1601"/>
      <c r="E5" s="1601"/>
      <c r="F5" s="1601"/>
      <c r="G5" s="1601"/>
      <c r="H5" s="1601"/>
      <c r="I5" s="1601"/>
      <c r="J5" s="1601"/>
      <c r="K5" s="1601"/>
      <c r="L5" s="173"/>
    </row>
    <row r="6" spans="1:17" ht="17.25" customHeight="1" x14ac:dyDescent="0.25">
      <c r="A6" s="1603"/>
      <c r="B6" s="1604"/>
      <c r="C6" s="1604"/>
      <c r="D6" s="1604"/>
      <c r="E6" s="1604"/>
      <c r="F6" s="1604"/>
      <c r="G6" s="1604"/>
      <c r="H6" s="1604"/>
      <c r="I6" s="1604"/>
      <c r="J6" s="1604"/>
      <c r="K6" s="1604"/>
      <c r="L6" s="175"/>
    </row>
    <row r="7" spans="1:17" ht="17.25" customHeight="1" x14ac:dyDescent="0.25">
      <c r="A7" s="1606"/>
      <c r="B7" s="1607"/>
      <c r="C7" s="1607"/>
      <c r="D7" s="1607"/>
      <c r="E7" s="1607"/>
      <c r="F7" s="1607"/>
      <c r="G7" s="1607"/>
      <c r="H7" s="1607"/>
      <c r="I7" s="1607"/>
      <c r="J7" s="1607"/>
      <c r="K7" s="1607"/>
      <c r="L7" s="177"/>
    </row>
    <row r="8" spans="1:17" ht="10.5" customHeight="1" x14ac:dyDescent="0.25">
      <c r="A8" s="49"/>
      <c r="B8" s="50"/>
      <c r="C8" s="50"/>
      <c r="D8" s="50"/>
      <c r="E8" s="50"/>
      <c r="F8" s="49"/>
      <c r="G8" s="49"/>
      <c r="H8" s="49"/>
      <c r="I8" s="49"/>
      <c r="J8" s="49"/>
      <c r="K8" s="49"/>
      <c r="L8" s="49"/>
    </row>
    <row r="9" spans="1:17" ht="18" customHeight="1" x14ac:dyDescent="0.25">
      <c r="A9" s="1885" t="s">
        <v>352</v>
      </c>
      <c r="B9" s="1885"/>
      <c r="C9" s="1885"/>
      <c r="D9" s="1885"/>
      <c r="E9" s="1885"/>
      <c r="F9" s="1885"/>
      <c r="G9" s="1885"/>
      <c r="H9" s="1885"/>
      <c r="I9" s="1885"/>
      <c r="J9" s="1885"/>
      <c r="K9" s="1885"/>
      <c r="L9" s="1885"/>
      <c r="M9" s="1885"/>
      <c r="N9" s="1885"/>
      <c r="O9" s="1885"/>
      <c r="P9" s="1885"/>
      <c r="Q9" s="1885"/>
    </row>
    <row r="10" spans="1:17" ht="16.5" customHeight="1" x14ac:dyDescent="0.25">
      <c r="A10" s="49"/>
      <c r="B10" s="49"/>
      <c r="C10" s="49"/>
      <c r="D10" s="49"/>
      <c r="E10" s="49"/>
      <c r="F10" s="49"/>
      <c r="G10" s="49"/>
      <c r="H10" s="49"/>
      <c r="I10" s="49"/>
      <c r="J10" s="49"/>
      <c r="K10" s="49"/>
      <c r="L10" s="49"/>
    </row>
    <row r="11" spans="1:17" ht="19.5" customHeight="1" x14ac:dyDescent="0.25">
      <c r="A11" s="49"/>
      <c r="B11" s="1916" t="s">
        <v>178</v>
      </c>
      <c r="C11" s="1917"/>
      <c r="D11" s="1917"/>
      <c r="E11" s="1917"/>
      <c r="F11" s="580" t="s">
        <v>152</v>
      </c>
      <c r="G11" s="580" t="s">
        <v>53</v>
      </c>
      <c r="H11" s="66" t="s">
        <v>492</v>
      </c>
      <c r="I11" s="49"/>
      <c r="J11" s="49"/>
      <c r="K11" s="49"/>
      <c r="L11" s="49"/>
    </row>
    <row r="12" spans="1:17" ht="19.5" customHeight="1" x14ac:dyDescent="0.25">
      <c r="A12" s="49"/>
      <c r="B12" s="1819" t="s">
        <v>2016</v>
      </c>
      <c r="C12" s="1820"/>
      <c r="D12" s="1820"/>
      <c r="E12" s="1820"/>
      <c r="F12" s="72">
        <v>1</v>
      </c>
      <c r="G12" s="55">
        <f>C44</f>
        <v>0</v>
      </c>
      <c r="H12" s="55" t="str">
        <f>C45</f>
        <v>No</v>
      </c>
      <c r="I12" s="49"/>
      <c r="J12" s="49"/>
      <c r="K12" s="49"/>
      <c r="L12" s="49"/>
    </row>
    <row r="13" spans="1:17" ht="16.5" customHeight="1" x14ac:dyDescent="0.25">
      <c r="A13" s="50"/>
      <c r="B13" s="50"/>
      <c r="C13" s="50"/>
      <c r="D13" s="50"/>
      <c r="E13" s="50"/>
      <c r="F13" s="50"/>
      <c r="G13" s="49"/>
      <c r="H13" s="49"/>
      <c r="I13" s="49"/>
      <c r="J13" s="49"/>
      <c r="K13" s="49"/>
      <c r="L13" s="49"/>
    </row>
    <row r="14" spans="1:17" ht="18" customHeight="1" x14ac:dyDescent="0.25">
      <c r="A14" s="1885" t="s">
        <v>245</v>
      </c>
      <c r="B14" s="1885"/>
      <c r="C14" s="1885"/>
      <c r="D14" s="1885"/>
      <c r="E14" s="1885"/>
      <c r="F14" s="1885"/>
      <c r="G14" s="1885"/>
      <c r="H14" s="1885"/>
      <c r="I14" s="1885"/>
      <c r="J14" s="1885"/>
      <c r="K14" s="1885"/>
      <c r="L14" s="1885"/>
      <c r="M14" s="1885"/>
      <c r="N14" s="1885"/>
      <c r="O14" s="1885"/>
      <c r="P14" s="1885"/>
      <c r="Q14" s="1885"/>
    </row>
    <row r="15" spans="1:17" x14ac:dyDescent="0.25">
      <c r="A15" s="50"/>
      <c r="B15" s="50"/>
      <c r="C15" s="50"/>
      <c r="D15" s="50"/>
      <c r="E15" s="50"/>
      <c r="F15" s="50"/>
      <c r="G15" s="50"/>
      <c r="H15" s="50"/>
      <c r="I15" s="50"/>
      <c r="J15" s="50"/>
      <c r="K15" s="50"/>
      <c r="L15" s="50"/>
    </row>
    <row r="16" spans="1:17" x14ac:dyDescent="0.25">
      <c r="A16" s="50"/>
      <c r="B16" s="770" t="s">
        <v>2213</v>
      </c>
      <c r="C16" s="570"/>
      <c r="D16" s="570"/>
      <c r="E16" s="570"/>
      <c r="F16" s="570"/>
      <c r="G16" s="570"/>
      <c r="H16" s="571"/>
      <c r="I16" s="50"/>
      <c r="J16" s="50"/>
      <c r="K16" s="50"/>
      <c r="L16" s="50"/>
    </row>
    <row r="17" spans="1:14" x14ac:dyDescent="0.25">
      <c r="A17" s="50"/>
      <c r="B17" s="762" t="s">
        <v>1074</v>
      </c>
      <c r="C17" s="567"/>
      <c r="D17" s="567"/>
      <c r="E17" s="567"/>
      <c r="F17" s="567"/>
      <c r="G17" s="567"/>
      <c r="H17" s="573"/>
      <c r="I17" s="50"/>
      <c r="J17" s="50"/>
      <c r="K17" s="50"/>
      <c r="L17" s="50"/>
    </row>
    <row r="18" spans="1:14" x14ac:dyDescent="0.25">
      <c r="A18" s="50"/>
      <c r="B18" s="572" t="s">
        <v>373</v>
      </c>
      <c r="C18" s="567"/>
      <c r="D18" s="567"/>
      <c r="E18" s="567"/>
      <c r="F18" s="567"/>
      <c r="G18" s="567"/>
      <c r="H18" s="573"/>
      <c r="I18" s="50"/>
      <c r="J18" s="50"/>
      <c r="K18" s="50"/>
      <c r="L18" s="50"/>
    </row>
    <row r="19" spans="1:14" x14ac:dyDescent="0.25">
      <c r="A19" s="50"/>
      <c r="B19" s="572" t="s">
        <v>369</v>
      </c>
      <c r="C19" s="567"/>
      <c r="D19" s="567"/>
      <c r="E19" s="567"/>
      <c r="F19" s="567"/>
      <c r="G19" s="567"/>
      <c r="H19" s="573"/>
      <c r="I19" s="50"/>
      <c r="J19" s="50"/>
      <c r="K19" s="50"/>
      <c r="L19" s="50"/>
    </row>
    <row r="20" spans="1:14" x14ac:dyDescent="0.25">
      <c r="A20" s="50"/>
      <c r="B20" s="572" t="s">
        <v>370</v>
      </c>
      <c r="C20" s="567"/>
      <c r="D20" s="567"/>
      <c r="E20" s="567"/>
      <c r="F20" s="567"/>
      <c r="G20" s="567"/>
      <c r="H20" s="573"/>
      <c r="I20" s="50"/>
      <c r="J20" s="50"/>
      <c r="K20" s="50"/>
      <c r="L20" s="50"/>
    </row>
    <row r="21" spans="1:14" x14ac:dyDescent="0.25">
      <c r="A21" s="50"/>
      <c r="B21" s="574" t="s">
        <v>372</v>
      </c>
      <c r="C21" s="575"/>
      <c r="D21" s="575"/>
      <c r="E21" s="575"/>
      <c r="F21" s="575"/>
      <c r="G21" s="575"/>
      <c r="H21" s="576"/>
      <c r="I21" s="50"/>
      <c r="J21" s="50"/>
      <c r="K21" s="50"/>
      <c r="L21" s="50"/>
    </row>
    <row r="22" spans="1:14" x14ac:dyDescent="0.25">
      <c r="A22" s="50"/>
      <c r="B22" s="50"/>
      <c r="C22" s="50"/>
      <c r="D22" s="50"/>
      <c r="E22" s="50"/>
      <c r="F22" s="50"/>
      <c r="G22" s="50"/>
      <c r="H22" s="50"/>
      <c r="I22" s="50"/>
      <c r="J22" s="50"/>
      <c r="K22" s="50"/>
      <c r="L22" s="50"/>
    </row>
    <row r="23" spans="1:14" x14ac:dyDescent="0.25">
      <c r="A23" s="50"/>
      <c r="B23" s="1597" t="s">
        <v>1133</v>
      </c>
      <c r="C23" s="1844"/>
      <c r="D23" s="1844"/>
      <c r="E23" s="1844"/>
      <c r="F23" s="1844"/>
      <c r="G23" s="50"/>
      <c r="H23" s="50"/>
      <c r="I23" s="50"/>
      <c r="J23" s="50"/>
      <c r="K23" s="50"/>
      <c r="L23" s="50"/>
    </row>
    <row r="24" spans="1:14" ht="9" customHeight="1" x14ac:dyDescent="0.25">
      <c r="A24" s="50"/>
      <c r="B24" s="50"/>
      <c r="C24" s="50"/>
      <c r="D24" s="50"/>
      <c r="E24" s="50"/>
      <c r="F24" s="50"/>
      <c r="G24" s="50"/>
      <c r="H24" s="50"/>
      <c r="I24" s="50"/>
      <c r="J24" s="50"/>
      <c r="K24" s="50"/>
      <c r="L24" s="50"/>
    </row>
    <row r="25" spans="1:14" ht="18" customHeight="1" x14ac:dyDescent="0.25">
      <c r="A25" s="50"/>
      <c r="B25" s="1576" t="s">
        <v>1393</v>
      </c>
      <c r="C25" s="1577"/>
      <c r="D25" s="1577"/>
      <c r="E25" s="1578"/>
      <c r="F25" s="932" t="s">
        <v>124</v>
      </c>
      <c r="G25" s="50"/>
      <c r="H25" s="50"/>
      <c r="I25" s="50"/>
      <c r="J25" s="50"/>
      <c r="K25" s="50"/>
      <c r="L25" s="860" t="b">
        <v>0</v>
      </c>
      <c r="M25" s="80" t="b">
        <v>0</v>
      </c>
    </row>
    <row r="26" spans="1:14" ht="18" customHeight="1" x14ac:dyDescent="0.25">
      <c r="A26" s="50"/>
      <c r="B26" s="1965" t="s">
        <v>2212</v>
      </c>
      <c r="C26" s="1966"/>
      <c r="D26" s="1966"/>
      <c r="E26" s="1967"/>
      <c r="F26" s="1116" t="s">
        <v>124</v>
      </c>
      <c r="G26" s="50"/>
      <c r="H26" s="50"/>
      <c r="I26" s="50"/>
      <c r="J26" s="50"/>
      <c r="K26" s="50"/>
      <c r="L26" s="860"/>
      <c r="M26" s="80"/>
    </row>
    <row r="27" spans="1:14" ht="9" customHeight="1" x14ac:dyDescent="0.25">
      <c r="A27" s="50"/>
      <c r="B27" s="50"/>
      <c r="C27" s="50"/>
      <c r="D27" s="50"/>
      <c r="E27" s="50"/>
      <c r="F27" s="50"/>
      <c r="G27" s="50"/>
      <c r="H27" s="50"/>
      <c r="I27" s="50"/>
      <c r="J27" s="50"/>
      <c r="K27" s="50"/>
      <c r="L27" s="50"/>
    </row>
    <row r="28" spans="1:14" ht="18" customHeight="1" x14ac:dyDescent="0.25">
      <c r="A28" s="50"/>
      <c r="B28" s="1961" t="s">
        <v>368</v>
      </c>
      <c r="C28" s="1961"/>
      <c r="D28" s="1961"/>
      <c r="E28" s="1962"/>
      <c r="F28" s="582" t="s">
        <v>371</v>
      </c>
      <c r="G28" s="1963" t="s">
        <v>871</v>
      </c>
      <c r="H28" s="1964"/>
      <c r="I28" s="50"/>
      <c r="J28" s="50"/>
      <c r="K28" s="50"/>
      <c r="L28" s="50"/>
    </row>
    <row r="29" spans="1:14" ht="18" customHeight="1" x14ac:dyDescent="0.25">
      <c r="A29" s="50"/>
      <c r="B29" s="1843" t="s">
        <v>373</v>
      </c>
      <c r="C29" s="1843"/>
      <c r="D29" s="1843"/>
      <c r="E29" s="1036" t="s">
        <v>124</v>
      </c>
      <c r="F29" s="231" t="s">
        <v>124</v>
      </c>
      <c r="G29" s="1637"/>
      <c r="H29" s="1637"/>
      <c r="I29" s="50"/>
      <c r="J29" s="50"/>
      <c r="K29" s="50"/>
      <c r="L29" s="80" t="b">
        <v>0</v>
      </c>
      <c r="N29" s="80" t="str">
        <f>IF(AND(L29=TRUE,F29&lt;&gt;"Select"),IF(F29="other",IF(G29&lt;&gt;"","Yes","No"),"Yes"),"No")</f>
        <v>No</v>
      </c>
    </row>
    <row r="30" spans="1:14" ht="18" customHeight="1" x14ac:dyDescent="0.25">
      <c r="A30" s="50"/>
      <c r="B30" s="1843" t="s">
        <v>369</v>
      </c>
      <c r="C30" s="1843"/>
      <c r="D30" s="1843"/>
      <c r="E30" s="1036" t="s">
        <v>124</v>
      </c>
      <c r="F30" s="231" t="s">
        <v>124</v>
      </c>
      <c r="G30" s="1637"/>
      <c r="H30" s="1637"/>
      <c r="I30" s="50"/>
      <c r="J30" s="50"/>
      <c r="K30" s="50"/>
      <c r="L30" s="80" t="b">
        <v>0</v>
      </c>
      <c r="N30" s="80" t="str">
        <f>IF(AND(L30=TRUE,F30&lt;&gt;"Select"),IF(F30="other",IF(G30&lt;&gt;"","Yes","No"),"Yes"),"No")</f>
        <v>No</v>
      </c>
    </row>
    <row r="31" spans="1:14" ht="18" customHeight="1" x14ac:dyDescent="0.25">
      <c r="A31" s="50"/>
      <c r="B31" s="1843" t="s">
        <v>370</v>
      </c>
      <c r="C31" s="1843"/>
      <c r="D31" s="1843"/>
      <c r="E31" s="1036" t="s">
        <v>124</v>
      </c>
      <c r="F31" s="231" t="s">
        <v>124</v>
      </c>
      <c r="G31" s="1637"/>
      <c r="H31" s="1637"/>
      <c r="I31" s="50"/>
      <c r="J31" s="50"/>
      <c r="K31" s="50"/>
      <c r="L31" s="80" t="b">
        <v>0</v>
      </c>
      <c r="N31" s="80" t="str">
        <f>IF(AND(L31=TRUE,F31&lt;&gt;"Select"),IF(F31="other",IF(G31&lt;&gt;"","Yes","No"),"Yes"),"No")</f>
        <v>No</v>
      </c>
    </row>
    <row r="32" spans="1:14" ht="18" customHeight="1" x14ac:dyDescent="0.25">
      <c r="A32" s="50"/>
      <c r="B32" s="1843" t="s">
        <v>372</v>
      </c>
      <c r="C32" s="1843"/>
      <c r="D32" s="1843"/>
      <c r="E32" s="1036" t="s">
        <v>124</v>
      </c>
      <c r="F32" s="231" t="s">
        <v>124</v>
      </c>
      <c r="G32" s="1637"/>
      <c r="H32" s="1637"/>
      <c r="I32" s="50"/>
      <c r="J32" s="50"/>
      <c r="K32" s="50"/>
      <c r="L32" s="80" t="b">
        <v>0</v>
      </c>
      <c r="N32" s="80" t="str">
        <f>IF(AND(L32=TRUE,F32&lt;&gt;"Select"),IF(F32="other",IF(G32&lt;&gt;"","Yes","No"),"Yes"),"No")</f>
        <v>No</v>
      </c>
    </row>
    <row r="33" spans="1:17" x14ac:dyDescent="0.25">
      <c r="A33" s="50"/>
      <c r="B33" s="50"/>
      <c r="C33" s="50"/>
      <c r="D33" s="50"/>
      <c r="E33" s="50"/>
      <c r="F33" s="50"/>
      <c r="G33" s="50"/>
      <c r="H33" s="50"/>
      <c r="I33" s="50"/>
      <c r="J33" s="50"/>
      <c r="K33" s="50"/>
      <c r="L33" s="50"/>
    </row>
    <row r="34" spans="1:17" ht="18" customHeight="1" x14ac:dyDescent="0.25">
      <c r="A34" s="50"/>
      <c r="B34" s="1951" t="s">
        <v>2214</v>
      </c>
      <c r="C34" s="1952"/>
      <c r="D34" s="1953"/>
      <c r="E34" s="164" t="str">
        <f>IF(AND(F26="Yes",F25="Yes",E29="Yes",E30="Yes",E31="Yes",E32="Yes"),"Yes","No")</f>
        <v>No</v>
      </c>
      <c r="G34" s="50"/>
      <c r="H34" s="50"/>
      <c r="I34" s="50"/>
      <c r="J34" s="50"/>
      <c r="K34" s="50"/>
      <c r="L34" s="50"/>
    </row>
    <row r="35" spans="1:17" ht="19.5" customHeight="1" x14ac:dyDescent="0.25">
      <c r="A35" s="50"/>
      <c r="B35" s="50"/>
      <c r="C35" s="50"/>
      <c r="D35" s="50"/>
      <c r="E35" s="50"/>
      <c r="F35" s="50"/>
      <c r="G35" s="50"/>
      <c r="H35" s="50"/>
      <c r="I35" s="50"/>
      <c r="J35" s="50"/>
      <c r="K35" s="50"/>
      <c r="L35" s="50"/>
    </row>
    <row r="36" spans="1:17" ht="18" customHeight="1" x14ac:dyDescent="0.25">
      <c r="A36" s="1885" t="s">
        <v>186</v>
      </c>
      <c r="B36" s="1885"/>
      <c r="C36" s="1885"/>
      <c r="D36" s="1885"/>
      <c r="E36" s="1885"/>
      <c r="F36" s="1885"/>
      <c r="G36" s="1885"/>
      <c r="H36" s="1885"/>
      <c r="I36" s="1885"/>
      <c r="J36" s="1885"/>
      <c r="K36" s="1885"/>
      <c r="L36" s="1885"/>
      <c r="M36" s="1885"/>
      <c r="N36" s="1885"/>
      <c r="O36" s="1885"/>
      <c r="P36" s="1885"/>
      <c r="Q36" s="1885"/>
    </row>
    <row r="37" spans="1:17" x14ac:dyDescent="0.25">
      <c r="A37" s="50"/>
      <c r="B37" s="50"/>
      <c r="C37" s="50"/>
      <c r="D37" s="50"/>
      <c r="E37" s="50"/>
      <c r="F37" s="50"/>
      <c r="G37" s="50"/>
      <c r="H37" s="50"/>
      <c r="I37" s="50"/>
      <c r="J37" s="50"/>
      <c r="K37" s="50"/>
      <c r="L37" s="50"/>
    </row>
    <row r="38" spans="1:17" ht="18" customHeight="1" x14ac:dyDescent="0.25">
      <c r="A38" s="49"/>
      <c r="B38" s="1880" t="s">
        <v>1739</v>
      </c>
      <c r="C38" s="1881"/>
      <c r="D38" s="1881"/>
      <c r="E38" s="1881"/>
      <c r="F38" s="1881"/>
      <c r="G38" s="935" t="s">
        <v>1737</v>
      </c>
      <c r="H38" s="1878" t="s">
        <v>1738</v>
      </c>
      <c r="I38" s="1879"/>
      <c r="J38" s="50"/>
      <c r="K38" s="49"/>
      <c r="L38" s="50"/>
    </row>
    <row r="39" spans="1:17" ht="24" customHeight="1" x14ac:dyDescent="0.25">
      <c r="A39" s="49"/>
      <c r="B39" s="1692" t="s">
        <v>1553</v>
      </c>
      <c r="C39" s="1693"/>
      <c r="D39" s="1693"/>
      <c r="E39" s="1693"/>
      <c r="F39" s="1693"/>
      <c r="G39" s="231" t="s">
        <v>124</v>
      </c>
      <c r="H39" s="1587"/>
      <c r="I39" s="1588"/>
      <c r="J39" s="50"/>
      <c r="K39" s="49"/>
      <c r="L39" s="50"/>
    </row>
    <row r="40" spans="1:17" ht="24" customHeight="1" x14ac:dyDescent="0.25">
      <c r="A40" s="49"/>
      <c r="B40" s="1692" t="s">
        <v>1073</v>
      </c>
      <c r="C40" s="1693"/>
      <c r="D40" s="1693"/>
      <c r="E40" s="1693"/>
      <c r="F40" s="1693"/>
      <c r="G40" s="471" t="s">
        <v>124</v>
      </c>
      <c r="H40" s="1587"/>
      <c r="I40" s="1588"/>
      <c r="J40" s="50"/>
      <c r="K40" s="49"/>
      <c r="L40" s="50"/>
    </row>
    <row r="41" spans="1:17" ht="18" customHeight="1" x14ac:dyDescent="0.25">
      <c r="A41" s="50"/>
      <c r="B41" s="50"/>
      <c r="C41" s="50"/>
      <c r="D41" s="50"/>
      <c r="E41" s="50"/>
      <c r="F41" s="50"/>
      <c r="G41" s="50"/>
      <c r="H41" s="50"/>
      <c r="I41" s="50"/>
      <c r="J41" s="50"/>
      <c r="K41" s="50"/>
      <c r="L41" s="50"/>
    </row>
    <row r="42" spans="1:17" ht="18" customHeight="1" x14ac:dyDescent="0.25">
      <c r="A42" s="1885" t="s">
        <v>22</v>
      </c>
      <c r="B42" s="1885"/>
      <c r="C42" s="1885"/>
      <c r="D42" s="1885"/>
      <c r="E42" s="1885"/>
      <c r="F42" s="1885"/>
      <c r="G42" s="1885"/>
      <c r="H42" s="1885"/>
      <c r="I42" s="1885"/>
      <c r="J42" s="1885"/>
      <c r="K42" s="1885"/>
      <c r="L42" s="1885"/>
      <c r="M42" s="1885"/>
      <c r="N42" s="1885"/>
      <c r="O42" s="1885"/>
      <c r="P42" s="1885"/>
      <c r="Q42" s="1885"/>
    </row>
    <row r="43" spans="1:17" x14ac:dyDescent="0.25">
      <c r="A43" s="50"/>
      <c r="B43" s="50"/>
      <c r="C43" s="50"/>
      <c r="D43" s="50"/>
      <c r="E43" s="50"/>
      <c r="F43" s="50"/>
      <c r="G43" s="49"/>
      <c r="H43" s="49"/>
      <c r="I43" s="49"/>
      <c r="J43" s="49"/>
      <c r="K43" s="49"/>
      <c r="L43" s="49"/>
    </row>
    <row r="44" spans="1:17" ht="18" customHeight="1" x14ac:dyDescent="0.25">
      <c r="A44" s="50"/>
      <c r="B44" s="186" t="s">
        <v>53</v>
      </c>
      <c r="C44" s="1335">
        <f>IF(E34="Yes",1,0)</f>
        <v>0</v>
      </c>
      <c r="D44" s="50"/>
      <c r="E44" s="50"/>
      <c r="F44" s="50"/>
      <c r="G44" s="50"/>
      <c r="H44" s="50"/>
      <c r="I44" s="50"/>
      <c r="J44" s="50"/>
      <c r="K44" s="50"/>
      <c r="L44" s="50"/>
    </row>
    <row r="45" spans="1:17" ht="18" customHeight="1" x14ac:dyDescent="0.25">
      <c r="A45" s="50"/>
      <c r="B45" s="186" t="s">
        <v>492</v>
      </c>
      <c r="C45" s="1335" t="str">
        <f>IF(AND(COUNTIF(G39:G40,"Submitted")=2,C44&gt;0),"Yes","No")</f>
        <v>No</v>
      </c>
      <c r="D45" s="50"/>
      <c r="E45" s="50"/>
      <c r="F45" s="50"/>
      <c r="G45" s="50"/>
      <c r="H45" s="50"/>
      <c r="I45" s="50"/>
      <c r="J45" s="50"/>
      <c r="K45" s="50"/>
      <c r="L45" s="50"/>
    </row>
    <row r="46" spans="1:17" x14ac:dyDescent="0.25">
      <c r="A46" s="50"/>
      <c r="B46" s="50"/>
      <c r="C46" s="50"/>
      <c r="D46" s="50"/>
      <c r="E46" s="50"/>
      <c r="F46" s="50"/>
      <c r="G46" s="50"/>
      <c r="H46" s="50"/>
      <c r="I46" s="50"/>
      <c r="J46" s="50"/>
      <c r="K46" s="50"/>
      <c r="L46" s="50"/>
    </row>
    <row r="47" spans="1:17" hidden="1" x14ac:dyDescent="0.25">
      <c r="A47" s="50"/>
      <c r="B47" s="50"/>
      <c r="C47" s="50"/>
      <c r="D47" s="50"/>
      <c r="E47" s="50"/>
      <c r="F47" s="50"/>
      <c r="G47" s="50"/>
      <c r="H47" s="50"/>
      <c r="I47" s="50"/>
      <c r="J47" s="50"/>
      <c r="K47" s="50"/>
      <c r="L47" s="50"/>
    </row>
    <row r="48" spans="1:17" hidden="1" collapsed="1" x14ac:dyDescent="0.25">
      <c r="A48" s="50"/>
      <c r="B48" s="50"/>
      <c r="C48" s="50"/>
      <c r="D48" s="50"/>
      <c r="E48" s="50"/>
      <c r="F48" s="50"/>
      <c r="G48" s="49"/>
      <c r="H48" s="49"/>
      <c r="I48" s="49"/>
      <c r="J48" s="49"/>
      <c r="K48" s="49"/>
      <c r="L48" s="49"/>
    </row>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4.2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sheetData>
  <sheetProtection algorithmName="SHA-512" hashValue="ZhUuq6c5xez9BGc+OdbYE2gFIQKLqJbdm5BrF7eMzzHKNERr1Pse88a/S6zvxFsco11rWFJV12gRzJ9DCZBGkA==" saltValue="yuRZuDTLkx7nSh7kOnUNCg==" spinCount="100000" sheet="1" objects="1" scenarios="1"/>
  <mergeCells count="29">
    <mergeCell ref="A42:Q42"/>
    <mergeCell ref="B29:D29"/>
    <mergeCell ref="B34:D34"/>
    <mergeCell ref="A9:Q9"/>
    <mergeCell ref="A14:Q14"/>
    <mergeCell ref="A36:Q36"/>
    <mergeCell ref="B40:F40"/>
    <mergeCell ref="H39:I39"/>
    <mergeCell ref="H40:I40"/>
    <mergeCell ref="B38:F38"/>
    <mergeCell ref="H38:I38"/>
    <mergeCell ref="B39:F39"/>
    <mergeCell ref="B25:E25"/>
    <mergeCell ref="B26:E26"/>
    <mergeCell ref="H2:J4"/>
    <mergeCell ref="A1:F1"/>
    <mergeCell ref="B28:E28"/>
    <mergeCell ref="B32:D32"/>
    <mergeCell ref="G28:H28"/>
    <mergeCell ref="G29:H29"/>
    <mergeCell ref="G30:H30"/>
    <mergeCell ref="B23:F23"/>
    <mergeCell ref="G31:H31"/>
    <mergeCell ref="B11:E11"/>
    <mergeCell ref="B12:E12"/>
    <mergeCell ref="G32:H32"/>
    <mergeCell ref="B31:D31"/>
    <mergeCell ref="B30:D30"/>
    <mergeCell ref="A5:K7"/>
  </mergeCells>
  <conditionalFormatting sqref="B12 F12">
    <cfRule type="expression" dxfId="241" priority="7">
      <formula>OR(#REF!="No",#REF!="Không")</formula>
    </cfRule>
  </conditionalFormatting>
  <conditionalFormatting sqref="G12">
    <cfRule type="expression" dxfId="240" priority="5">
      <formula>OR($D12="No",$D12="Không")</formula>
    </cfRule>
    <cfRule type="expression" dxfId="239" priority="6">
      <formula>OR(#REF!="No",#REF!="Không")</formula>
    </cfRule>
  </conditionalFormatting>
  <conditionalFormatting sqref="G12">
    <cfRule type="expression" dxfId="238" priority="3">
      <formula>OR(#REF!="No",#REF!="Không")</formula>
    </cfRule>
  </conditionalFormatting>
  <conditionalFormatting sqref="B12 F12">
    <cfRule type="expression" dxfId="237" priority="9">
      <formula>OR($D12="No",$D12="Không")</formula>
    </cfRule>
    <cfRule type="expression" dxfId="236" priority="10">
      <formula>OR(#REF!="No",#REF!="Không")</formula>
    </cfRule>
  </conditionalFormatting>
  <conditionalFormatting sqref="A37:A41 B39 B37:XFD37 B41:XFD41 I39:I40 G39:G40 R36:XFD36 H38:I38 J38:XFD40">
    <cfRule type="expression" dxfId="235" priority="2">
      <formula>#REF!&lt;&gt;"Prescriptive Path"</formula>
    </cfRule>
  </conditionalFormatting>
  <conditionalFormatting sqref="B40">
    <cfRule type="expression" dxfId="234" priority="1">
      <formula>#REF!&lt;&gt;"Prescriptive Path"</formula>
    </cfRule>
  </conditionalFormatting>
  <dataValidations disablePrompts="1" count="3">
    <dataValidation type="list" allowBlank="1" showInputMessage="1" showErrorMessage="1" sqref="F29:F32" xr:uid="{00000000-0002-0000-1700-000000000000}">
      <formula1>"Select,sediment filter,reverse-osmosis filter,activated carbon filter, other"</formula1>
    </dataValidation>
    <dataValidation type="list" allowBlank="1" showInputMessage="1" showErrorMessage="1" sqref="G39:G40" xr:uid="{00000000-0002-0000-1700-000001000000}">
      <formula1>"Select,Submitted,Not submitted"</formula1>
    </dataValidation>
    <dataValidation type="list" allowBlank="1" showInputMessage="1" showErrorMessage="1" sqref="E29:E32 F25:F26" xr:uid="{00000000-0002-0000-1700-000002000000}">
      <formula1>"Select,Yes,No"</formula1>
    </dataValidation>
  </dataValidations>
  <hyperlinks>
    <hyperlink ref="K3" location="'W-2 Water Efficient Landscaping'!E3" tooltip="W-2" display="W-2" xr:uid="{00000000-0004-0000-1700-000000000000}"/>
    <hyperlink ref="K4" location="'Water BPC'!D3" tooltip="BPC" display="BPC" xr:uid="{00000000-0004-0000-1700-000001000000}"/>
    <hyperlink ref="K2" location="'W-1 Water Efficient Fixtures'!B3" tooltip="W-1" display="W-1" xr:uid="{00000000-0004-0000-1700-000002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2">
    <tabColor rgb="FF0563C1"/>
  </sheetPr>
  <dimension ref="A1:O114"/>
  <sheetViews>
    <sheetView showRowColHeaders="0" zoomScaleNormal="100" workbookViewId="0">
      <pane ySplit="7" topLeftCell="A8" activePane="bottomLeft" state="frozen"/>
      <selection pane="bottomLeft" activeCell="I11" sqref="I11"/>
    </sheetView>
  </sheetViews>
  <sheetFormatPr defaultColWidth="0" defaultRowHeight="15" zeroHeight="1" x14ac:dyDescent="0.25"/>
  <cols>
    <col min="1" max="1" width="4.5703125" customWidth="1"/>
    <col min="2" max="2" width="18.85546875" customWidth="1"/>
    <col min="3" max="3" width="15.42578125" customWidth="1"/>
    <col min="4" max="4" width="18.7109375" customWidth="1"/>
    <col min="5" max="5" width="18.42578125" customWidth="1"/>
    <col min="6" max="6" width="18.5703125" customWidth="1"/>
    <col min="7" max="9" width="18.7109375" customWidth="1"/>
    <col min="10" max="10" width="15.85546875" customWidth="1"/>
    <col min="11" max="11" width="9.140625" customWidth="1"/>
    <col min="12" max="16384" width="9.140625" hidden="1"/>
  </cols>
  <sheetData>
    <row r="1" spans="1:15" ht="23.25" x14ac:dyDescent="0.25">
      <c r="A1" s="1960" t="s">
        <v>586</v>
      </c>
      <c r="B1" s="1960"/>
      <c r="C1" s="1960"/>
      <c r="D1" s="1960"/>
      <c r="E1" s="1960"/>
      <c r="F1" s="1960"/>
      <c r="G1" s="109"/>
      <c r="H1" s="109"/>
      <c r="I1" s="109"/>
      <c r="J1" s="109"/>
      <c r="K1" s="109"/>
    </row>
    <row r="2" spans="1:15" ht="15" customHeight="1" x14ac:dyDescent="0.25">
      <c r="A2" s="50"/>
      <c r="B2" s="50"/>
      <c r="C2" s="50"/>
      <c r="D2" s="50"/>
      <c r="E2" s="50"/>
      <c r="F2" s="50"/>
      <c r="G2" s="49"/>
      <c r="H2" s="49"/>
      <c r="I2" s="1822" t="s">
        <v>1740</v>
      </c>
      <c r="J2" s="1822"/>
      <c r="K2" s="216" t="s">
        <v>85</v>
      </c>
    </row>
    <row r="3" spans="1:15" x14ac:dyDescent="0.25">
      <c r="A3" s="50"/>
      <c r="B3" s="50"/>
      <c r="C3" s="50"/>
      <c r="D3" s="50"/>
      <c r="E3" s="50"/>
      <c r="F3" s="50"/>
      <c r="G3" s="49"/>
      <c r="H3" s="49"/>
      <c r="I3" s="1822"/>
      <c r="J3" s="1822"/>
      <c r="K3" s="216" t="s">
        <v>90</v>
      </c>
    </row>
    <row r="4" spans="1:15" x14ac:dyDescent="0.25">
      <c r="A4" s="50"/>
      <c r="B4" s="50"/>
      <c r="C4" s="50"/>
      <c r="D4" s="50"/>
      <c r="E4" s="50"/>
      <c r="F4" s="50"/>
      <c r="G4" s="49"/>
      <c r="H4" s="49"/>
      <c r="I4" s="1822"/>
      <c r="J4" s="1822"/>
      <c r="K4" s="216" t="s">
        <v>94</v>
      </c>
    </row>
    <row r="5" spans="1:15" s="38" customFormat="1" ht="18" customHeight="1" x14ac:dyDescent="0.25">
      <c r="A5" s="1823" t="s">
        <v>2515</v>
      </c>
      <c r="B5" s="1824"/>
      <c r="C5" s="1824"/>
      <c r="D5" s="1824"/>
      <c r="E5" s="1824"/>
      <c r="F5" s="1824"/>
      <c r="G5" s="1824"/>
      <c r="H5" s="1824"/>
      <c r="I5" s="1824"/>
      <c r="J5" s="1824"/>
      <c r="K5" s="1825"/>
      <c r="L5"/>
    </row>
    <row r="6" spans="1:15" s="38" customFormat="1" ht="18" customHeight="1" x14ac:dyDescent="0.25">
      <c r="A6" s="1828"/>
      <c r="B6" s="1829"/>
      <c r="C6" s="1829"/>
      <c r="D6" s="1829"/>
      <c r="E6" s="1829"/>
      <c r="F6" s="1829"/>
      <c r="G6" s="1829"/>
      <c r="H6" s="1829"/>
      <c r="I6" s="1829"/>
      <c r="J6" s="1829"/>
      <c r="K6" s="1830"/>
      <c r="L6"/>
      <c r="M6" s="49"/>
      <c r="N6"/>
      <c r="O6"/>
    </row>
    <row r="7" spans="1:15" s="38" customFormat="1" ht="9" customHeight="1" x14ac:dyDescent="0.25">
      <c r="A7" s="49"/>
      <c r="B7" s="50"/>
      <c r="C7" s="50"/>
      <c r="D7" s="50"/>
      <c r="E7" s="50"/>
      <c r="F7" s="49"/>
      <c r="G7" s="49"/>
      <c r="H7" s="49"/>
      <c r="I7" s="49"/>
      <c r="J7" s="49"/>
      <c r="K7" s="49"/>
      <c r="L7" s="49"/>
      <c r="M7" s="49"/>
    </row>
    <row r="8" spans="1:15" ht="18" customHeight="1" x14ac:dyDescent="0.25">
      <c r="A8" s="1885" t="s">
        <v>587</v>
      </c>
      <c r="B8" s="1885"/>
      <c r="C8" s="1885"/>
      <c r="D8" s="1885"/>
      <c r="E8" s="1885"/>
      <c r="F8" s="1885"/>
      <c r="G8" s="1885"/>
      <c r="H8" s="1885"/>
      <c r="I8" s="1885"/>
      <c r="J8" s="1885"/>
      <c r="K8" s="1885"/>
    </row>
    <row r="9" spans="1:15" ht="16.5" customHeight="1" x14ac:dyDescent="0.25">
      <c r="A9" s="49"/>
      <c r="B9" s="49"/>
      <c r="C9" s="49"/>
      <c r="D9" s="49"/>
      <c r="E9" s="49"/>
      <c r="F9" s="49"/>
      <c r="G9" s="49"/>
      <c r="H9" s="49"/>
      <c r="I9" s="49"/>
      <c r="J9" s="49"/>
      <c r="K9" s="49"/>
    </row>
    <row r="10" spans="1:15" ht="19.5" customHeight="1" x14ac:dyDescent="0.25">
      <c r="A10" s="49"/>
      <c r="B10" s="1969" t="s">
        <v>178</v>
      </c>
      <c r="C10" s="1970"/>
      <c r="D10" s="1970"/>
      <c r="E10" s="1970"/>
      <c r="F10" s="1970"/>
      <c r="G10" s="580" t="s">
        <v>152</v>
      </c>
      <c r="H10" s="580" t="s">
        <v>53</v>
      </c>
      <c r="I10" s="66" t="s">
        <v>492</v>
      </c>
      <c r="J10" s="49"/>
      <c r="K10" s="49"/>
    </row>
    <row r="11" spans="1:15" ht="28.5" customHeight="1" x14ac:dyDescent="0.25">
      <c r="A11" s="49"/>
      <c r="B11" s="1819" t="s">
        <v>589</v>
      </c>
      <c r="C11" s="1820"/>
      <c r="D11" s="1820"/>
      <c r="E11" s="1820"/>
      <c r="F11" s="1821"/>
      <c r="G11" s="72">
        <v>1</v>
      </c>
      <c r="H11" s="502">
        <f>C47</f>
        <v>0</v>
      </c>
      <c r="I11" s="502" t="str">
        <f>C48</f>
        <v>No</v>
      </c>
      <c r="J11" s="49"/>
      <c r="K11" s="49"/>
      <c r="L11" s="38" t="str">
        <f>IF(H11&lt;&gt;0,IF(I11="No","No","Yes"),"Yes")</f>
        <v>Yes</v>
      </c>
    </row>
    <row r="12" spans="1:15" ht="54.75" customHeight="1" x14ac:dyDescent="0.25">
      <c r="A12" s="49"/>
      <c r="B12" s="1819" t="s">
        <v>1787</v>
      </c>
      <c r="C12" s="1820"/>
      <c r="D12" s="1820"/>
      <c r="E12" s="1820"/>
      <c r="F12" s="1821"/>
      <c r="G12" s="72">
        <v>2</v>
      </c>
      <c r="H12" s="502">
        <f>C74</f>
        <v>0</v>
      </c>
      <c r="I12" s="502" t="str">
        <f>C75</f>
        <v>No</v>
      </c>
      <c r="J12" s="49"/>
      <c r="K12" s="49"/>
      <c r="L12" s="38" t="str">
        <f>IF(H12&lt;&gt;0,IF(I12="No","No","Yes"),"Yes")</f>
        <v>Yes</v>
      </c>
    </row>
    <row r="13" spans="1:15" ht="21" customHeight="1" x14ac:dyDescent="0.25">
      <c r="A13" s="49"/>
      <c r="B13" s="1613" t="s">
        <v>79</v>
      </c>
      <c r="C13" s="1748"/>
      <c r="D13" s="1748"/>
      <c r="E13" s="1748"/>
      <c r="F13" s="1749"/>
      <c r="G13" s="631">
        <v>3</v>
      </c>
      <c r="H13" s="631">
        <f>MIN(3,SUM(H11:H12))</f>
        <v>0</v>
      </c>
      <c r="I13" s="631" t="str">
        <f>IF(COUNTIF(I11:I12,"No")=2,"No",IF(COUNTIF(L11:L12,"Yes")=2,"Yes","No"))</f>
        <v>No</v>
      </c>
      <c r="J13" s="49"/>
      <c r="K13" s="49"/>
    </row>
    <row r="14" spans="1:15" ht="18" customHeight="1" x14ac:dyDescent="0.25">
      <c r="A14" s="50"/>
      <c r="B14" s="50"/>
      <c r="C14" s="50"/>
      <c r="D14" s="50"/>
      <c r="E14" s="50"/>
      <c r="F14" s="50"/>
      <c r="G14" s="49"/>
      <c r="H14" s="49"/>
      <c r="I14" s="49"/>
      <c r="J14" s="49"/>
      <c r="K14" s="49"/>
    </row>
    <row r="15" spans="1:15" ht="18" customHeight="1" x14ac:dyDescent="0.25">
      <c r="A15" s="1885" t="s">
        <v>588</v>
      </c>
      <c r="B15" s="1885"/>
      <c r="C15" s="1885"/>
      <c r="D15" s="1885"/>
      <c r="E15" s="1885"/>
      <c r="F15" s="1885"/>
      <c r="G15" s="1885"/>
      <c r="H15" s="1885"/>
      <c r="I15" s="1885"/>
      <c r="J15" s="1885"/>
      <c r="K15" s="1885"/>
    </row>
    <row r="16" spans="1:15" x14ac:dyDescent="0.25">
      <c r="A16" s="50"/>
      <c r="B16" s="50"/>
      <c r="C16" s="50"/>
      <c r="D16" s="50"/>
      <c r="E16" s="50"/>
      <c r="F16" s="50"/>
      <c r="G16" s="50"/>
      <c r="H16" s="50"/>
      <c r="I16" s="50"/>
      <c r="J16" s="50"/>
      <c r="K16" s="50"/>
    </row>
    <row r="17" spans="1:11" ht="16.5" customHeight="1" x14ac:dyDescent="0.25">
      <c r="A17" s="1877" t="s">
        <v>245</v>
      </c>
      <c r="B17" s="1877"/>
      <c r="C17" s="1877"/>
      <c r="D17" s="50"/>
      <c r="E17" s="50"/>
      <c r="F17" s="50"/>
      <c r="G17" s="50"/>
      <c r="H17" s="50"/>
      <c r="I17" s="50"/>
      <c r="J17" s="50"/>
      <c r="K17" s="50"/>
    </row>
    <row r="18" spans="1:11" x14ac:dyDescent="0.25">
      <c r="A18" s="50"/>
      <c r="B18" s="185"/>
      <c r="C18" s="50"/>
      <c r="D18" s="50"/>
      <c r="E18" s="50"/>
      <c r="F18" s="50"/>
      <c r="G18" s="50"/>
      <c r="H18" s="50"/>
      <c r="I18" s="50"/>
      <c r="J18" s="50"/>
      <c r="K18" s="50"/>
    </row>
    <row r="19" spans="1:11" x14ac:dyDescent="0.25">
      <c r="A19" s="50"/>
      <c r="B19" s="581" t="s">
        <v>1259</v>
      </c>
      <c r="C19" s="50"/>
      <c r="D19" s="50"/>
      <c r="E19" s="50"/>
      <c r="F19" s="50"/>
      <c r="G19" s="50"/>
      <c r="H19" s="50"/>
      <c r="I19" s="50"/>
      <c r="J19" s="50"/>
      <c r="K19" s="50"/>
    </row>
    <row r="20" spans="1:11" x14ac:dyDescent="0.25">
      <c r="A20" s="50"/>
      <c r="B20" s="50"/>
      <c r="C20" s="50"/>
      <c r="D20" s="50"/>
      <c r="E20" s="50"/>
      <c r="F20" s="50"/>
      <c r="G20" s="50"/>
      <c r="H20" s="50"/>
      <c r="I20" s="50"/>
      <c r="J20" s="50"/>
      <c r="K20" s="50"/>
    </row>
    <row r="21" spans="1:11" x14ac:dyDescent="0.25">
      <c r="A21" s="50"/>
      <c r="B21" s="585" t="s">
        <v>828</v>
      </c>
      <c r="C21" s="570"/>
      <c r="D21" s="570"/>
      <c r="E21" s="570"/>
      <c r="F21" s="571"/>
      <c r="G21" s="50"/>
      <c r="H21" s="50"/>
      <c r="I21" s="50"/>
      <c r="J21" s="50"/>
      <c r="K21" s="50"/>
    </row>
    <row r="22" spans="1:11" x14ac:dyDescent="0.25">
      <c r="A22" s="50"/>
      <c r="B22" s="572" t="s">
        <v>830</v>
      </c>
      <c r="C22" s="567"/>
      <c r="D22" s="567"/>
      <c r="E22" s="567"/>
      <c r="F22" s="573"/>
      <c r="G22" s="50"/>
      <c r="H22" s="50"/>
      <c r="I22" s="50"/>
      <c r="J22" s="50"/>
      <c r="K22" s="50"/>
    </row>
    <row r="23" spans="1:11" x14ac:dyDescent="0.25">
      <c r="A23" s="50"/>
      <c r="B23" s="572" t="s">
        <v>829</v>
      </c>
      <c r="C23" s="567"/>
      <c r="D23" s="567"/>
      <c r="E23" s="567"/>
      <c r="F23" s="573"/>
      <c r="G23" s="50"/>
      <c r="H23" s="50"/>
      <c r="I23" s="50"/>
      <c r="J23" s="50"/>
      <c r="K23" s="50"/>
    </row>
    <row r="24" spans="1:11" x14ac:dyDescent="0.25">
      <c r="A24" s="50"/>
      <c r="B24" s="572" t="s">
        <v>831</v>
      </c>
      <c r="C24" s="567"/>
      <c r="D24" s="567"/>
      <c r="E24" s="567"/>
      <c r="F24" s="573"/>
      <c r="G24" s="50"/>
      <c r="H24" s="50"/>
      <c r="I24" s="50"/>
      <c r="J24" s="50"/>
      <c r="K24" s="50"/>
    </row>
    <row r="25" spans="1:11" x14ac:dyDescent="0.25">
      <c r="A25" s="50"/>
      <c r="B25" s="572" t="s">
        <v>833</v>
      </c>
      <c r="C25" s="567"/>
      <c r="D25" s="567"/>
      <c r="E25" s="567"/>
      <c r="F25" s="573"/>
      <c r="G25" s="50"/>
      <c r="H25" s="50"/>
      <c r="I25" s="50"/>
      <c r="J25" s="50"/>
      <c r="K25" s="50"/>
    </row>
    <row r="26" spans="1:11" x14ac:dyDescent="0.25">
      <c r="A26" s="50"/>
      <c r="B26" s="574" t="s">
        <v>832</v>
      </c>
      <c r="C26" s="575"/>
      <c r="D26" s="575"/>
      <c r="E26" s="575"/>
      <c r="F26" s="576"/>
      <c r="G26" s="50"/>
      <c r="H26" s="50"/>
      <c r="I26" s="50"/>
      <c r="J26" s="50"/>
      <c r="K26" s="50"/>
    </row>
    <row r="27" spans="1:11" x14ac:dyDescent="0.25">
      <c r="A27" s="50"/>
      <c r="B27" s="50"/>
      <c r="C27" s="50"/>
      <c r="D27" s="50"/>
      <c r="E27" s="50"/>
      <c r="F27" s="50"/>
      <c r="G27" s="50"/>
      <c r="H27" s="50"/>
      <c r="I27" s="50"/>
      <c r="J27" s="50"/>
      <c r="K27" s="50"/>
    </row>
    <row r="28" spans="1:11" x14ac:dyDescent="0.25">
      <c r="A28" s="50"/>
      <c r="B28" s="642" t="s">
        <v>1260</v>
      </c>
      <c r="C28" s="50"/>
      <c r="D28" s="50"/>
      <c r="E28" s="50"/>
      <c r="F28" s="50"/>
      <c r="G28" s="50"/>
      <c r="H28" s="50"/>
      <c r="I28" s="50"/>
      <c r="J28" s="50"/>
      <c r="K28" s="50"/>
    </row>
    <row r="29" spans="1:11" ht="9.75" customHeight="1" x14ac:dyDescent="0.25">
      <c r="A29" s="50"/>
      <c r="B29" s="185"/>
      <c r="C29" s="50"/>
      <c r="D29" s="50"/>
      <c r="E29" s="50"/>
      <c r="F29" s="50"/>
      <c r="G29" s="50"/>
      <c r="H29" s="50"/>
      <c r="I29" s="50"/>
      <c r="J29" s="50"/>
      <c r="K29" s="50"/>
    </row>
    <row r="30" spans="1:11" ht="18" customHeight="1" x14ac:dyDescent="0.25">
      <c r="A30" s="50"/>
      <c r="B30" s="1843" t="s">
        <v>1379</v>
      </c>
      <c r="C30" s="1843"/>
      <c r="D30" s="1843"/>
      <c r="E30" s="504"/>
      <c r="F30" s="50"/>
      <c r="G30" s="50"/>
      <c r="H30" s="50"/>
      <c r="I30" s="50"/>
      <c r="J30" s="50"/>
      <c r="K30" s="50"/>
    </row>
    <row r="31" spans="1:11" ht="18" customHeight="1" x14ac:dyDescent="0.25">
      <c r="A31" s="50"/>
      <c r="B31" s="1843" t="s">
        <v>1378</v>
      </c>
      <c r="C31" s="1843"/>
      <c r="D31" s="1843"/>
      <c r="E31" s="504"/>
      <c r="F31" s="50"/>
      <c r="G31" s="50"/>
      <c r="H31" s="50"/>
      <c r="I31" s="50"/>
      <c r="J31" s="50"/>
      <c r="K31" s="50"/>
    </row>
    <row r="32" spans="1:11" ht="18" customHeight="1" x14ac:dyDescent="0.25">
      <c r="A32" s="50"/>
      <c r="B32" s="1843" t="s">
        <v>1377</v>
      </c>
      <c r="C32" s="1843"/>
      <c r="D32" s="1843"/>
      <c r="E32" s="504"/>
      <c r="F32" s="50"/>
      <c r="G32" s="50"/>
      <c r="H32" s="50"/>
      <c r="I32" s="50"/>
      <c r="J32" s="50"/>
      <c r="K32" s="50"/>
    </row>
    <row r="33" spans="1:11" ht="18" customHeight="1" x14ac:dyDescent="0.25">
      <c r="A33" s="50"/>
      <c r="B33" s="1843" t="s">
        <v>1376</v>
      </c>
      <c r="C33" s="1843"/>
      <c r="D33" s="1843"/>
      <c r="E33" s="504"/>
      <c r="F33" s="50"/>
      <c r="G33" s="50"/>
      <c r="H33" s="50"/>
      <c r="I33" s="50"/>
      <c r="J33" s="50"/>
      <c r="K33" s="50"/>
    </row>
    <row r="34" spans="1:11" ht="18" customHeight="1" x14ac:dyDescent="0.25">
      <c r="A34" s="50"/>
      <c r="B34" s="1843" t="s">
        <v>1375</v>
      </c>
      <c r="C34" s="1843"/>
      <c r="D34" s="1843"/>
      <c r="E34" s="505"/>
      <c r="F34" s="50"/>
      <c r="G34" s="50"/>
      <c r="H34" s="50"/>
      <c r="I34" s="50"/>
      <c r="J34" s="50"/>
      <c r="K34" s="50"/>
    </row>
    <row r="35" spans="1:11" ht="27.75" customHeight="1" x14ac:dyDescent="0.25">
      <c r="A35" s="50"/>
      <c r="B35" s="1843" t="s">
        <v>1374</v>
      </c>
      <c r="C35" s="1843"/>
      <c r="D35" s="1843"/>
      <c r="E35" s="1763"/>
      <c r="F35" s="1764"/>
      <c r="G35" s="1841"/>
      <c r="H35" s="50"/>
      <c r="I35" s="50"/>
      <c r="J35" s="50"/>
      <c r="K35" s="50"/>
    </row>
    <row r="36" spans="1:11" ht="16.5" customHeight="1" x14ac:dyDescent="0.25">
      <c r="A36" s="50"/>
      <c r="B36" s="50"/>
      <c r="C36" s="50"/>
      <c r="D36" s="50"/>
      <c r="E36" s="50"/>
      <c r="F36" s="50"/>
      <c r="G36" s="50"/>
      <c r="H36" s="50"/>
      <c r="I36" s="50"/>
      <c r="J36" s="50"/>
      <c r="K36" s="50"/>
    </row>
    <row r="37" spans="1:11" ht="19.5" customHeight="1" x14ac:dyDescent="0.25">
      <c r="A37" s="50"/>
      <c r="B37" s="1951" t="s">
        <v>914</v>
      </c>
      <c r="C37" s="1952"/>
      <c r="D37" s="1952"/>
      <c r="E37" s="164" t="str">
        <f>IF(COUNTIF(E30:E35,"")=0,"Yes","No")</f>
        <v>No</v>
      </c>
      <c r="F37" s="50"/>
      <c r="G37" s="50"/>
      <c r="H37" s="50"/>
      <c r="I37" s="50"/>
      <c r="J37" s="50"/>
      <c r="K37" s="50"/>
    </row>
    <row r="38" spans="1:11" ht="19.5" customHeight="1" x14ac:dyDescent="0.25">
      <c r="A38" s="50"/>
      <c r="B38" s="50"/>
      <c r="C38" s="50"/>
      <c r="D38" s="50"/>
      <c r="E38" s="50"/>
      <c r="F38" s="50"/>
      <c r="G38" s="50"/>
      <c r="H38" s="50"/>
      <c r="I38" s="50"/>
      <c r="J38" s="50"/>
      <c r="K38" s="50"/>
    </row>
    <row r="39" spans="1:11" ht="16.5" customHeight="1" x14ac:dyDescent="0.25">
      <c r="A39" s="1877" t="s">
        <v>186</v>
      </c>
      <c r="B39" s="1877"/>
      <c r="C39" s="1877"/>
      <c r="D39" s="50"/>
      <c r="E39" s="50"/>
      <c r="F39" s="50"/>
      <c r="G39" s="50"/>
      <c r="H39" s="50"/>
      <c r="I39" s="50"/>
      <c r="J39" s="50"/>
      <c r="K39" s="50"/>
    </row>
    <row r="40" spans="1:11" x14ac:dyDescent="0.25">
      <c r="A40" s="50"/>
      <c r="B40" s="50"/>
      <c r="C40" s="50"/>
      <c r="D40" s="50"/>
      <c r="E40" s="50"/>
      <c r="F40" s="50"/>
      <c r="G40" s="50"/>
      <c r="H40" s="50"/>
      <c r="I40" s="50"/>
      <c r="J40" s="50"/>
      <c r="K40" s="50"/>
    </row>
    <row r="41" spans="1:11" ht="15" customHeight="1" x14ac:dyDescent="0.25">
      <c r="A41" s="49"/>
      <c r="B41" s="1880" t="s">
        <v>1739</v>
      </c>
      <c r="C41" s="1881"/>
      <c r="D41" s="1881"/>
      <c r="E41" s="1881"/>
      <c r="F41" s="1881"/>
      <c r="G41" s="935" t="s">
        <v>1737</v>
      </c>
      <c r="H41" s="1878" t="s">
        <v>1738</v>
      </c>
      <c r="I41" s="1879"/>
      <c r="J41" s="49"/>
      <c r="K41" s="49"/>
    </row>
    <row r="42" spans="1:11" ht="30" customHeight="1" x14ac:dyDescent="0.25">
      <c r="A42" s="49"/>
      <c r="B42" s="1576" t="s">
        <v>1527</v>
      </c>
      <c r="C42" s="1577"/>
      <c r="D42" s="1577"/>
      <c r="E42" s="1577"/>
      <c r="F42" s="1577"/>
      <c r="G42" s="503" t="s">
        <v>124</v>
      </c>
      <c r="H42" s="1587"/>
      <c r="I42" s="1588"/>
      <c r="J42" s="49"/>
      <c r="K42" s="49"/>
    </row>
    <row r="43" spans="1:11" ht="24" customHeight="1" x14ac:dyDescent="0.25">
      <c r="A43" s="49"/>
      <c r="B43" s="1576" t="s">
        <v>1223</v>
      </c>
      <c r="C43" s="1577"/>
      <c r="D43" s="1577"/>
      <c r="E43" s="1577"/>
      <c r="F43" s="1577"/>
      <c r="G43" s="503" t="s">
        <v>124</v>
      </c>
      <c r="H43" s="1587"/>
      <c r="I43" s="1588"/>
      <c r="J43" s="49"/>
      <c r="K43" s="49"/>
    </row>
    <row r="44" spans="1:11" ht="18.75" customHeight="1" x14ac:dyDescent="0.25">
      <c r="A44" s="50"/>
      <c r="B44" s="50"/>
      <c r="C44" s="50"/>
      <c r="D44" s="50"/>
      <c r="E44" s="50"/>
      <c r="F44" s="50"/>
      <c r="G44" s="50"/>
      <c r="H44" s="50"/>
      <c r="I44" s="50"/>
      <c r="J44" s="50"/>
      <c r="K44" s="50"/>
    </row>
    <row r="45" spans="1:11" ht="16.5" customHeight="1" x14ac:dyDescent="0.25">
      <c r="A45" s="1877" t="s">
        <v>22</v>
      </c>
      <c r="B45" s="1877"/>
      <c r="C45" s="1877"/>
      <c r="D45" s="50"/>
      <c r="E45" s="50"/>
      <c r="F45" s="50"/>
      <c r="G45" s="50"/>
      <c r="H45" s="50"/>
      <c r="I45" s="50"/>
      <c r="J45" s="50"/>
      <c r="K45" s="50"/>
    </row>
    <row r="46" spans="1:11" x14ac:dyDescent="0.25">
      <c r="A46" s="50"/>
      <c r="B46" s="50"/>
      <c r="C46" s="50"/>
      <c r="D46" s="50"/>
      <c r="E46" s="50"/>
      <c r="F46" s="50"/>
      <c r="G46" s="49"/>
      <c r="H46" s="49"/>
      <c r="I46" s="49"/>
      <c r="J46" s="49"/>
      <c r="K46" s="49"/>
    </row>
    <row r="47" spans="1:11" ht="18.75" customHeight="1" x14ac:dyDescent="0.25">
      <c r="A47" s="50"/>
      <c r="B47" s="186" t="s">
        <v>53</v>
      </c>
      <c r="C47" s="1335">
        <f>IF(E37="Yes",1,0)</f>
        <v>0</v>
      </c>
      <c r="D47" s="50"/>
      <c r="E47" s="50"/>
      <c r="F47" s="50"/>
      <c r="G47" s="50"/>
      <c r="H47" s="50"/>
      <c r="I47" s="50"/>
      <c r="J47" s="50"/>
      <c r="K47" s="50"/>
    </row>
    <row r="48" spans="1:11" ht="18.75" customHeight="1" x14ac:dyDescent="0.25">
      <c r="A48" s="50"/>
      <c r="B48" s="186" t="s">
        <v>492</v>
      </c>
      <c r="C48" s="1335" t="str">
        <f>IF(AND(COUNTIF(G42:G43,"Submitted")=2,C47&gt;0),"Yes","No")</f>
        <v>No</v>
      </c>
      <c r="D48" s="50"/>
      <c r="E48" s="50"/>
      <c r="F48" s="50"/>
      <c r="G48" s="50"/>
      <c r="H48" s="50"/>
      <c r="I48" s="50"/>
      <c r="J48" s="50"/>
      <c r="K48" s="50"/>
    </row>
    <row r="49" spans="1:11" ht="19.5" customHeight="1" x14ac:dyDescent="0.25">
      <c r="A49" s="50"/>
      <c r="B49" s="50"/>
      <c r="C49" s="50"/>
      <c r="D49" s="50"/>
      <c r="E49" s="50"/>
      <c r="F49" s="50"/>
      <c r="G49" s="50"/>
      <c r="H49" s="50"/>
      <c r="I49" s="50"/>
      <c r="J49" s="50"/>
      <c r="K49" s="50"/>
    </row>
    <row r="50" spans="1:11" ht="18" customHeight="1" x14ac:dyDescent="0.25">
      <c r="A50" s="1885" t="s">
        <v>622</v>
      </c>
      <c r="B50" s="1885"/>
      <c r="C50" s="1885"/>
      <c r="D50" s="1885"/>
      <c r="E50" s="1885"/>
      <c r="F50" s="1885"/>
      <c r="G50" s="1885"/>
      <c r="H50" s="1885"/>
      <c r="I50" s="1885"/>
      <c r="J50" s="1885"/>
      <c r="K50" s="1885"/>
    </row>
    <row r="51" spans="1:11" x14ac:dyDescent="0.25">
      <c r="A51" s="50"/>
      <c r="B51" s="50"/>
      <c r="C51" s="50"/>
      <c r="D51" s="50"/>
      <c r="E51" s="50"/>
      <c r="F51" s="50"/>
      <c r="G51" s="50"/>
      <c r="H51" s="50"/>
      <c r="I51" s="50"/>
      <c r="J51" s="50"/>
      <c r="K51" s="50"/>
    </row>
    <row r="52" spans="1:11" ht="16.5" customHeight="1" x14ac:dyDescent="0.25">
      <c r="A52" s="1877" t="s">
        <v>245</v>
      </c>
      <c r="B52" s="1877"/>
      <c r="C52" s="1877"/>
      <c r="D52" s="50"/>
      <c r="E52" s="50"/>
      <c r="F52" s="50"/>
      <c r="G52" s="50"/>
      <c r="H52" s="50"/>
      <c r="I52" s="50"/>
      <c r="J52" s="50"/>
      <c r="K52" s="50"/>
    </row>
    <row r="53" spans="1:11" x14ac:dyDescent="0.25">
      <c r="A53" s="50"/>
      <c r="B53" s="185"/>
      <c r="C53" s="50"/>
      <c r="D53" s="50"/>
      <c r="E53" s="50"/>
      <c r="F53" s="50"/>
      <c r="G53" s="50"/>
      <c r="H53" s="50"/>
      <c r="I53" s="50"/>
      <c r="J53" s="50"/>
      <c r="K53" s="50"/>
    </row>
    <row r="54" spans="1:11" x14ac:dyDescent="0.25">
      <c r="A54" s="50"/>
      <c r="B54" s="581" t="s">
        <v>840</v>
      </c>
      <c r="C54" s="50"/>
      <c r="D54" s="50"/>
      <c r="E54" s="50"/>
      <c r="F54" s="50"/>
      <c r="G54" s="50"/>
      <c r="H54" s="50"/>
      <c r="I54" s="50"/>
      <c r="J54" s="50"/>
      <c r="K54" s="50"/>
    </row>
    <row r="55" spans="1:11" ht="18" customHeight="1" x14ac:dyDescent="0.25">
      <c r="A55" s="50"/>
      <c r="B55" s="50"/>
      <c r="C55" s="50"/>
      <c r="D55" s="50"/>
      <c r="E55" s="50"/>
      <c r="F55" s="50"/>
      <c r="G55" s="50"/>
      <c r="H55" s="50"/>
      <c r="I55" s="50"/>
      <c r="J55" s="50"/>
      <c r="K55" s="50"/>
    </row>
    <row r="56" spans="1:11" x14ac:dyDescent="0.25">
      <c r="A56" s="50"/>
      <c r="B56" s="642" t="s">
        <v>1261</v>
      </c>
      <c r="C56" s="50"/>
      <c r="D56" s="50"/>
      <c r="E56" s="50"/>
      <c r="F56" s="50"/>
      <c r="G56" s="50"/>
      <c r="H56" s="50"/>
      <c r="I56" s="50"/>
      <c r="J56" s="50"/>
      <c r="K56" s="50"/>
    </row>
    <row r="57" spans="1:11" ht="9.75" customHeight="1" x14ac:dyDescent="0.25">
      <c r="A57" s="50"/>
      <c r="B57" s="50"/>
      <c r="C57" s="50"/>
      <c r="D57" s="50"/>
      <c r="E57" s="50"/>
      <c r="F57" s="50"/>
      <c r="G57" s="50"/>
      <c r="H57" s="50"/>
      <c r="I57" s="50"/>
      <c r="J57" s="50"/>
      <c r="K57" s="50"/>
    </row>
    <row r="58" spans="1:11" ht="18" customHeight="1" x14ac:dyDescent="0.25">
      <c r="A58" s="50"/>
      <c r="B58" s="1843" t="s">
        <v>1369</v>
      </c>
      <c r="C58" s="1843"/>
      <c r="D58" s="1843"/>
      <c r="E58" s="1637" t="s">
        <v>124</v>
      </c>
      <c r="F58" s="1637"/>
      <c r="G58" s="50"/>
      <c r="H58" s="50"/>
      <c r="I58" s="50"/>
      <c r="J58" s="50"/>
      <c r="K58" s="50"/>
    </row>
    <row r="59" spans="1:11" ht="18" customHeight="1" x14ac:dyDescent="0.25">
      <c r="A59" s="50"/>
      <c r="B59" s="1843" t="s">
        <v>1370</v>
      </c>
      <c r="C59" s="1843"/>
      <c r="D59" s="1843"/>
      <c r="E59" s="1637" t="s">
        <v>124</v>
      </c>
      <c r="F59" s="1637"/>
      <c r="G59" s="50"/>
      <c r="H59" s="50"/>
      <c r="I59" s="50"/>
      <c r="J59" s="50"/>
      <c r="K59" s="50"/>
    </row>
    <row r="60" spans="1:11" ht="18" customHeight="1" x14ac:dyDescent="0.25">
      <c r="A60" s="50"/>
      <c r="B60" s="1968" t="s">
        <v>1371</v>
      </c>
      <c r="C60" s="1968"/>
      <c r="D60" s="1968"/>
      <c r="E60" s="506"/>
      <c r="F60" s="50"/>
      <c r="G60" s="50"/>
      <c r="H60" s="50"/>
      <c r="I60" s="50"/>
      <c r="J60" s="50"/>
      <c r="K60" s="50"/>
    </row>
    <row r="61" spans="1:11" ht="18" customHeight="1" x14ac:dyDescent="0.25">
      <c r="A61" s="50"/>
      <c r="B61" s="1576" t="s">
        <v>1372</v>
      </c>
      <c r="C61" s="1577"/>
      <c r="D61" s="1578"/>
      <c r="E61" s="654"/>
      <c r="F61" s="50"/>
      <c r="G61" s="50"/>
      <c r="H61" s="50"/>
      <c r="I61" s="50"/>
      <c r="J61" s="50"/>
      <c r="K61" s="50"/>
    </row>
    <row r="62" spans="1:11" ht="18" customHeight="1" x14ac:dyDescent="0.25">
      <c r="A62" s="50"/>
      <c r="B62" s="50"/>
      <c r="C62" s="50"/>
      <c r="D62" s="50"/>
      <c r="E62" s="50"/>
      <c r="F62" s="50"/>
      <c r="G62" s="50"/>
      <c r="H62" s="50"/>
      <c r="I62" s="50"/>
      <c r="J62" s="50"/>
      <c r="K62" s="50"/>
    </row>
    <row r="63" spans="1:11" ht="18" customHeight="1" x14ac:dyDescent="0.25">
      <c r="A63" s="50"/>
      <c r="B63" s="1951" t="s">
        <v>1566</v>
      </c>
      <c r="C63" s="1952"/>
      <c r="D63" s="1952"/>
      <c r="E63" s="164" t="str">
        <f>IF(OR(E59="Irrigation",E59="irrigation and WC flushing"),IF(AND(E58&lt;&gt;"Select",E58&lt;&gt;"",E59&lt;&gt;"Select",E59&lt;&gt;"",E60&lt;&gt;"",E61&lt;&gt;"",E60&gt;=E61),"Yes","No"),"No")</f>
        <v>No</v>
      </c>
      <c r="F63" s="50"/>
      <c r="G63" s="50"/>
      <c r="H63" s="50"/>
      <c r="I63" s="50"/>
      <c r="J63" s="50"/>
      <c r="K63" s="50"/>
    </row>
    <row r="64" spans="1:11" ht="18" customHeight="1" x14ac:dyDescent="0.25">
      <c r="A64" s="50"/>
      <c r="B64" s="1951" t="s">
        <v>1567</v>
      </c>
      <c r="C64" s="1952"/>
      <c r="D64" s="1952"/>
      <c r="E64" s="164" t="str">
        <f>IF(OR(E59="WC flushing",E59="irrigation and WC flushing"),IF(AND(E58&lt;&gt;"Select",E58&lt;&gt;"",E59&lt;&gt;"Select",E59&lt;&gt;"",E60&lt;&gt;"",E61&lt;&gt;"",E60&gt;=E61),"Yes","No"),"No")</f>
        <v>No</v>
      </c>
      <c r="F64" s="50"/>
      <c r="G64" s="50"/>
      <c r="H64" s="50"/>
      <c r="I64" s="50"/>
      <c r="J64" s="50"/>
      <c r="K64" s="50"/>
    </row>
    <row r="65" spans="1:11" ht="18.75" customHeight="1" x14ac:dyDescent="0.25">
      <c r="A65" s="50"/>
      <c r="B65" s="50"/>
      <c r="C65" s="50"/>
      <c r="D65" s="50"/>
      <c r="E65" s="50"/>
      <c r="F65" s="50"/>
      <c r="G65" s="50"/>
      <c r="H65" s="50"/>
      <c r="I65" s="50"/>
      <c r="J65" s="50"/>
      <c r="K65" s="50"/>
    </row>
    <row r="66" spans="1:11" ht="16.5" customHeight="1" x14ac:dyDescent="0.25">
      <c r="A66" s="1877" t="s">
        <v>186</v>
      </c>
      <c r="B66" s="1877"/>
      <c r="C66" s="1877"/>
      <c r="D66" s="50"/>
      <c r="E66" s="50"/>
      <c r="F66" s="50"/>
      <c r="G66" s="50"/>
      <c r="H66" s="50"/>
      <c r="I66" s="50"/>
      <c r="J66" s="50"/>
      <c r="K66" s="50"/>
    </row>
    <row r="67" spans="1:11" x14ac:dyDescent="0.25">
      <c r="A67" s="50"/>
      <c r="B67" s="50"/>
      <c r="C67" s="50"/>
      <c r="D67" s="50"/>
      <c r="E67" s="50"/>
      <c r="F67" s="50"/>
      <c r="G67" s="50"/>
      <c r="H67" s="50"/>
      <c r="I67" s="50"/>
      <c r="J67" s="50"/>
      <c r="K67" s="50"/>
    </row>
    <row r="68" spans="1:11" ht="18" customHeight="1" x14ac:dyDescent="0.25">
      <c r="A68" s="49"/>
      <c r="B68" s="1880" t="s">
        <v>1739</v>
      </c>
      <c r="C68" s="1881"/>
      <c r="D68" s="1881"/>
      <c r="E68" s="1881"/>
      <c r="F68" s="1881"/>
      <c r="G68" s="935" t="s">
        <v>1737</v>
      </c>
      <c r="H68" s="1878" t="s">
        <v>1738</v>
      </c>
      <c r="I68" s="1879"/>
      <c r="J68" s="49"/>
      <c r="K68" s="49"/>
    </row>
    <row r="69" spans="1:11" ht="30" customHeight="1" x14ac:dyDescent="0.25">
      <c r="A69" s="49"/>
      <c r="B69" s="1576" t="s">
        <v>1380</v>
      </c>
      <c r="C69" s="1577"/>
      <c r="D69" s="1577"/>
      <c r="E69" s="1577"/>
      <c r="F69" s="1577"/>
      <c r="G69" s="933" t="s">
        <v>124</v>
      </c>
      <c r="H69" s="1587"/>
      <c r="I69" s="1588"/>
      <c r="J69" s="49"/>
      <c r="K69" s="49"/>
    </row>
    <row r="70" spans="1:11" ht="24" customHeight="1" x14ac:dyDescent="0.25">
      <c r="A70" s="49"/>
      <c r="B70" s="1576" t="s">
        <v>1223</v>
      </c>
      <c r="C70" s="1577"/>
      <c r="D70" s="1577"/>
      <c r="E70" s="1577"/>
      <c r="F70" s="1577"/>
      <c r="G70" s="503" t="s">
        <v>124</v>
      </c>
      <c r="H70" s="1587"/>
      <c r="I70" s="1588"/>
      <c r="J70" s="49"/>
      <c r="K70" s="49"/>
    </row>
    <row r="71" spans="1:11" ht="18" customHeight="1" x14ac:dyDescent="0.25">
      <c r="A71" s="50"/>
      <c r="B71" s="50"/>
      <c r="C71" s="50"/>
      <c r="D71" s="50"/>
      <c r="E71" s="50"/>
      <c r="F71" s="50"/>
      <c r="G71" s="50"/>
      <c r="H71" s="50"/>
      <c r="I71" s="50"/>
      <c r="J71" s="50"/>
      <c r="K71" s="50"/>
    </row>
    <row r="72" spans="1:11" ht="16.5" customHeight="1" x14ac:dyDescent="0.25">
      <c r="A72" s="1877" t="s">
        <v>22</v>
      </c>
      <c r="B72" s="1877"/>
      <c r="C72" s="1877"/>
      <c r="D72" s="50"/>
      <c r="E72" s="50"/>
      <c r="F72" s="50"/>
      <c r="G72" s="50"/>
      <c r="H72" s="50"/>
      <c r="I72" s="50"/>
      <c r="J72" s="50"/>
      <c r="K72" s="50"/>
    </row>
    <row r="73" spans="1:11" x14ac:dyDescent="0.25">
      <c r="A73" s="50"/>
      <c r="B73" s="50"/>
      <c r="C73" s="50"/>
      <c r="D73" s="50"/>
      <c r="E73" s="50"/>
      <c r="F73" s="50"/>
      <c r="G73" s="49"/>
      <c r="H73" s="49"/>
      <c r="I73" s="49"/>
      <c r="J73" s="49"/>
      <c r="K73" s="49"/>
    </row>
    <row r="74" spans="1:11" ht="18" customHeight="1" x14ac:dyDescent="0.25">
      <c r="A74" s="50"/>
      <c r="B74" s="186" t="s">
        <v>53</v>
      </c>
      <c r="C74" s="1335">
        <f>IF(AND(E64="Yes",E63="Yes"),2,IF(OR(E64="Yes",E63="Yes"),1,0))</f>
        <v>0</v>
      </c>
      <c r="D74" s="50"/>
      <c r="E74" s="50"/>
      <c r="F74" s="50"/>
      <c r="G74" s="50"/>
      <c r="H74" s="50"/>
      <c r="I74" s="50"/>
      <c r="J74" s="50"/>
      <c r="K74" s="50"/>
    </row>
    <row r="75" spans="1:11" ht="18" customHeight="1" x14ac:dyDescent="0.25">
      <c r="A75" s="50"/>
      <c r="B75" s="186" t="s">
        <v>492</v>
      </c>
      <c r="C75" s="1335" t="str">
        <f>IF(AND(COUNTIF(G69:G70,"Submitted")=2,C74&gt;0),"Yes","No")</f>
        <v>No</v>
      </c>
      <c r="D75" s="50"/>
      <c r="E75" s="50"/>
      <c r="F75" s="50"/>
      <c r="G75" s="50"/>
      <c r="H75" s="50"/>
      <c r="I75" s="50"/>
      <c r="J75" s="50"/>
      <c r="K75" s="50"/>
    </row>
    <row r="76" spans="1:11" ht="21.75" customHeight="1" x14ac:dyDescent="0.25">
      <c r="A76" s="50"/>
      <c r="B76" s="50"/>
      <c r="C76" s="50"/>
      <c r="D76" s="50"/>
      <c r="E76" s="50"/>
      <c r="F76" s="50"/>
      <c r="G76" s="50"/>
      <c r="H76" s="50"/>
      <c r="I76" s="50"/>
      <c r="J76" s="50"/>
      <c r="K76" s="50"/>
    </row>
    <row r="77" spans="1:11" hidden="1" x14ac:dyDescent="0.25"/>
    <row r="78" spans="1:11" hidden="1" x14ac:dyDescent="0.25"/>
    <row r="79" spans="1:11" hidden="1" x14ac:dyDescent="0.25"/>
    <row r="80" spans="1:11"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sheetData>
  <sheetProtection algorithmName="SHA-512" hashValue="eQq6aFotw9AaqI6A+x7laeovJSY6hA+NW6xyVPaMgSw+eVBvZR5bl5Po3Nw8DvEF7Twxxb7AMeBsAD/ehYgt7A==" saltValue="2LVwhfZdy+r983su1fKBWQ==" spinCount="100000" sheet="1" objects="1" scenarios="1"/>
  <mergeCells count="44">
    <mergeCell ref="A72:C72"/>
    <mergeCell ref="H70:I70"/>
    <mergeCell ref="B42:F42"/>
    <mergeCell ref="B43:F43"/>
    <mergeCell ref="H42:I42"/>
    <mergeCell ref="B70:F70"/>
    <mergeCell ref="B58:D58"/>
    <mergeCell ref="E58:F58"/>
    <mergeCell ref="A45:C45"/>
    <mergeCell ref="A52:C52"/>
    <mergeCell ref="B64:D64"/>
    <mergeCell ref="B68:F68"/>
    <mergeCell ref="H68:I68"/>
    <mergeCell ref="B69:F69"/>
    <mergeCell ref="H69:I69"/>
    <mergeCell ref="B63:D63"/>
    <mergeCell ref="I2:J4"/>
    <mergeCell ref="E35:G35"/>
    <mergeCell ref="B37:D37"/>
    <mergeCell ref="A39:C39"/>
    <mergeCell ref="B30:D30"/>
    <mergeCell ref="B31:D31"/>
    <mergeCell ref="B32:D32"/>
    <mergeCell ref="B33:D33"/>
    <mergeCell ref="B34:D34"/>
    <mergeCell ref="B35:D35"/>
    <mergeCell ref="B13:F13"/>
    <mergeCell ref="A1:F1"/>
    <mergeCell ref="B10:F10"/>
    <mergeCell ref="B11:F11"/>
    <mergeCell ref="B12:F12"/>
    <mergeCell ref="A17:C17"/>
    <mergeCell ref="A66:C66"/>
    <mergeCell ref="A50:K50"/>
    <mergeCell ref="A15:K15"/>
    <mergeCell ref="A8:K8"/>
    <mergeCell ref="A5:K6"/>
    <mergeCell ref="H43:I43"/>
    <mergeCell ref="H41:I41"/>
    <mergeCell ref="B41:F41"/>
    <mergeCell ref="E59:F59"/>
    <mergeCell ref="B59:D59"/>
    <mergeCell ref="B60:D60"/>
    <mergeCell ref="B61:D61"/>
  </mergeCells>
  <conditionalFormatting sqref="G11:G12 B11:B12">
    <cfRule type="expression" dxfId="233" priority="34">
      <formula>OR(#REF!="No",#REF!="Không")</formula>
    </cfRule>
  </conditionalFormatting>
  <conditionalFormatting sqref="G11:H12 B11:B12">
    <cfRule type="expression" dxfId="232" priority="32">
      <formula>OR($D11="No",$D11="Không")</formula>
    </cfRule>
    <cfRule type="expression" dxfId="231" priority="33">
      <formula>OR(#REF!="No",#REF!="Không")</formula>
    </cfRule>
  </conditionalFormatting>
  <conditionalFormatting sqref="H11:H12">
    <cfRule type="expression" dxfId="230" priority="31">
      <formula>OR(#REF!="No",#REF!="Không")</formula>
    </cfRule>
  </conditionalFormatting>
  <conditionalFormatting sqref="A67:A71 B67:K67 A40:A44 B40:K40 A17 B71:K71 B69 J68:K70 I44:K44 B44:G44 J41:K43">
    <cfRule type="expression" dxfId="229" priority="28">
      <formula>#REF!&lt;&gt;"Prescriptive Path"</formula>
    </cfRule>
  </conditionalFormatting>
  <conditionalFormatting sqref="G69:G70">
    <cfRule type="expression" dxfId="228" priority="27">
      <formula>#REF!&lt;&gt;"Prescriptive Path"</formula>
    </cfRule>
  </conditionalFormatting>
  <conditionalFormatting sqref="G42:G43">
    <cfRule type="expression" dxfId="227" priority="25">
      <formula>#REF!&lt;&gt;"Prescriptive Path"</formula>
    </cfRule>
  </conditionalFormatting>
  <conditionalFormatting sqref="A72">
    <cfRule type="expression" dxfId="226" priority="16">
      <formula>#REF!&lt;&gt;"Prescriptive Path"</formula>
    </cfRule>
  </conditionalFormatting>
  <conditionalFormatting sqref="A66">
    <cfRule type="expression" dxfId="225" priority="17">
      <formula>#REF!&lt;&gt;"Prescriptive Path"</formula>
    </cfRule>
  </conditionalFormatting>
  <conditionalFormatting sqref="A39">
    <cfRule type="expression" dxfId="224" priority="20">
      <formula>#REF!&lt;&gt;"Prescriptive Path"</formula>
    </cfRule>
  </conditionalFormatting>
  <conditionalFormatting sqref="A45">
    <cfRule type="expression" dxfId="223" priority="19">
      <formula>#REF!&lt;&gt;"Prescriptive Path"</formula>
    </cfRule>
  </conditionalFormatting>
  <conditionalFormatting sqref="A52">
    <cfRule type="expression" dxfId="222" priority="18">
      <formula>#REF!&lt;&gt;"Prescriptive Path"</formula>
    </cfRule>
  </conditionalFormatting>
  <conditionalFormatting sqref="H41:I41">
    <cfRule type="expression" dxfId="221" priority="10">
      <formula>#REF!&lt;&gt;"Prescriptive Path"</formula>
    </cfRule>
  </conditionalFormatting>
  <conditionalFormatting sqref="H68:I68">
    <cfRule type="expression" dxfId="220" priority="9">
      <formula>#REF!&lt;&gt;"Prescriptive Path"</formula>
    </cfRule>
  </conditionalFormatting>
  <conditionalFormatting sqref="B70">
    <cfRule type="expression" dxfId="219" priority="8">
      <formula>#REF!&lt;&gt;"Prescriptive Path"</formula>
    </cfRule>
  </conditionalFormatting>
  <conditionalFormatting sqref="B42:B43">
    <cfRule type="expression" dxfId="218" priority="5">
      <formula>#REF!&lt;&gt;"Prescriptive Path"</formula>
    </cfRule>
  </conditionalFormatting>
  <conditionalFormatting sqref="I69:I70">
    <cfRule type="expression" dxfId="217" priority="7">
      <formula>#REF!&lt;&gt;"Prescriptive Path"</formula>
    </cfRule>
  </conditionalFormatting>
  <conditionalFormatting sqref="H44">
    <cfRule type="expression" dxfId="216" priority="4">
      <formula>#REF!&lt;&gt;"Prescriptive Path"</formula>
    </cfRule>
  </conditionalFormatting>
  <conditionalFormatting sqref="I42:I43">
    <cfRule type="expression" dxfId="215" priority="3">
      <formula>#REF!&lt;&gt;"Prescriptive Path"</formula>
    </cfRule>
  </conditionalFormatting>
  <dataValidations count="3">
    <dataValidation type="list" allowBlank="1" showInputMessage="1" showErrorMessage="1" sqref="G69:G70 G42:G43" xr:uid="{00000000-0002-0000-1800-000000000000}">
      <formula1>"Select,Submitted,Not submitted"</formula1>
    </dataValidation>
    <dataValidation type="list" allowBlank="1" showInputMessage="1" showErrorMessage="1" sqref="E59:F59" xr:uid="{00000000-0002-0000-1800-000001000000}">
      <formula1>"Select,Irrigation, WC flushing, Irrigation and WC flushing"</formula1>
    </dataValidation>
    <dataValidation type="list" allowBlank="1" showInputMessage="1" showErrorMessage="1" sqref="E58:F58" xr:uid="{00000000-0002-0000-1800-000002000000}">
      <formula1>"Select,gray water, black water, gray and black water"</formula1>
    </dataValidation>
  </dataValidations>
  <hyperlinks>
    <hyperlink ref="K3" location="'W-2 Water Efficient Landscaping'!E3" tooltip="W-2" display="W-2" xr:uid="{00000000-0004-0000-1800-000000000000}"/>
    <hyperlink ref="K4" location="'W-3 Drinking Water '!B3" tooltip="W-3" display="W-3" xr:uid="{00000000-0004-0000-1800-000001000000}"/>
    <hyperlink ref="K2" location="'W-1 Water Efficient Fixtures'!B3" tooltip="W-1" display="W-1" xr:uid="{00000000-0004-0000-1800-000002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
    <tabColor rgb="FF5F4970"/>
  </sheetPr>
  <dimension ref="A1:XFC56"/>
  <sheetViews>
    <sheetView showRowColHeaders="0" zoomScale="90" zoomScaleNormal="90" workbookViewId="0">
      <selection activeCell="E7" sqref="E7:F7"/>
    </sheetView>
  </sheetViews>
  <sheetFormatPr defaultColWidth="0" defaultRowHeight="0" customHeight="1" zeroHeight="1" x14ac:dyDescent="0.25"/>
  <cols>
    <col min="1" max="1" width="5.7109375" customWidth="1"/>
    <col min="2" max="2" width="31.85546875" customWidth="1"/>
    <col min="3" max="3" width="3.5703125" customWidth="1"/>
    <col min="4" max="4" width="11.140625" customWidth="1"/>
    <col min="5" max="6" width="20.5703125" customWidth="1"/>
    <col min="7" max="8" width="19.7109375" customWidth="1"/>
    <col min="9" max="10" width="8" customWidth="1"/>
    <col min="11" max="11" width="4" customWidth="1"/>
    <col min="12" max="12" width="5.7109375" customWidth="1"/>
    <col min="13" max="17" width="0" hidden="1" customWidth="1"/>
    <col min="18" max="16383" width="9.140625" hidden="1"/>
    <col min="16384" max="16384" width="1.140625" hidden="1" customWidth="1"/>
  </cols>
  <sheetData>
    <row r="1" spans="1:12" ht="30" customHeight="1" x14ac:dyDescent="0.25">
      <c r="A1" s="41"/>
      <c r="B1" s="1976" t="s">
        <v>196</v>
      </c>
      <c r="C1" s="262"/>
      <c r="D1" s="1"/>
      <c r="E1" s="1"/>
      <c r="F1" s="1"/>
      <c r="G1" s="1"/>
      <c r="H1" s="1"/>
      <c r="I1" s="1"/>
      <c r="J1" s="1"/>
      <c r="K1" s="1"/>
      <c r="L1" s="1"/>
    </row>
    <row r="2" spans="1:12" ht="30" customHeight="1" x14ac:dyDescent="0.25">
      <c r="A2" s="41"/>
      <c r="B2" s="1976"/>
      <c r="C2" s="262"/>
      <c r="D2" s="1"/>
      <c r="E2" s="1"/>
      <c r="F2" s="1"/>
      <c r="G2" s="1"/>
      <c r="H2" s="1"/>
      <c r="I2" s="1"/>
      <c r="J2" s="1"/>
      <c r="K2" s="1"/>
      <c r="L2" s="1"/>
    </row>
    <row r="3" spans="1:12" ht="21.75" customHeight="1" x14ac:dyDescent="0.25">
      <c r="A3" s="41"/>
      <c r="B3" s="1976"/>
      <c r="C3" s="262"/>
      <c r="D3" s="1"/>
      <c r="E3" s="1"/>
      <c r="F3" s="1"/>
      <c r="G3" s="1"/>
      <c r="H3" s="1"/>
      <c r="I3" s="1"/>
      <c r="J3" s="1"/>
      <c r="K3" s="1"/>
      <c r="L3" s="1"/>
    </row>
    <row r="4" spans="1:12" ht="15" customHeight="1" x14ac:dyDescent="0.25">
      <c r="A4" s="41"/>
      <c r="B4" s="1977" t="str">
        <f>IF(A1="","To encourage use of sustainable materials and reduce use of high-embodied-energy materials, for example trough the use of re-used and/or recycled materials.","Nhằm giảm thiểu tiêu thụ các loại vật liệu tiêu tốn nhiều năng lượng trong quá trình sản xuất, vận dụng tối đa các vật liệu tái sử dụng hoặc tái chế và tăng cường việc sử dụng các vật liệu lắp ghép")</f>
        <v>To encourage use of sustainable materials and reduce use of high-embodied-energy materials, for example trough the use of re-used and/or recycled materials.</v>
      </c>
      <c r="C4" s="263"/>
      <c r="D4" s="1"/>
      <c r="E4" s="1978" t="s">
        <v>363</v>
      </c>
      <c r="F4" s="1978"/>
      <c r="G4" s="1971" t="s">
        <v>364</v>
      </c>
      <c r="H4" s="1971" t="s">
        <v>53</v>
      </c>
      <c r="I4" s="1"/>
      <c r="J4" s="1"/>
      <c r="K4" s="1"/>
      <c r="L4" s="1"/>
    </row>
    <row r="5" spans="1:12" ht="15" customHeight="1" x14ac:dyDescent="0.25">
      <c r="A5" s="41"/>
      <c r="B5" s="1977"/>
      <c r="C5" s="263"/>
      <c r="D5" s="1"/>
      <c r="E5" s="1978"/>
      <c r="F5" s="1978"/>
      <c r="G5" s="1971"/>
      <c r="H5" s="1971"/>
      <c r="I5" s="1"/>
      <c r="J5" s="1"/>
      <c r="K5" s="1"/>
      <c r="L5" s="1"/>
    </row>
    <row r="6" spans="1:12" ht="23.25" customHeight="1" x14ac:dyDescent="0.25">
      <c r="A6" s="41"/>
      <c r="B6" s="1977"/>
      <c r="C6" s="263"/>
      <c r="D6" s="1"/>
      <c r="E6" s="1972" t="s">
        <v>1602</v>
      </c>
      <c r="F6" s="1972"/>
      <c r="G6" s="93">
        <v>3</v>
      </c>
      <c r="H6" s="93">
        <f ca="1">'M-1 Structure Materials'!G12</f>
        <v>0</v>
      </c>
      <c r="I6" s="1"/>
      <c r="J6" s="1"/>
      <c r="K6" s="1"/>
      <c r="L6" s="1"/>
    </row>
    <row r="7" spans="1:12" ht="23.25" customHeight="1" x14ac:dyDescent="0.25">
      <c r="A7" s="41"/>
      <c r="B7" s="1977"/>
      <c r="C7" s="263"/>
      <c r="D7" s="1"/>
      <c r="E7" s="1972" t="s">
        <v>1603</v>
      </c>
      <c r="F7" s="1972"/>
      <c r="G7" s="93">
        <v>3</v>
      </c>
      <c r="H7" s="93">
        <f ca="1">'M-2 Non-structural Walls'!G12</f>
        <v>0</v>
      </c>
      <c r="I7" s="1"/>
      <c r="J7" s="1"/>
      <c r="K7" s="1"/>
      <c r="L7" s="1"/>
    </row>
    <row r="8" spans="1:12" ht="23.25" customHeight="1" x14ac:dyDescent="0.25">
      <c r="A8" s="100"/>
      <c r="B8" s="1977"/>
      <c r="C8" s="263"/>
      <c r="D8" s="1"/>
      <c r="E8" s="1972" t="s">
        <v>1604</v>
      </c>
      <c r="F8" s="1972"/>
      <c r="G8" s="93">
        <v>2</v>
      </c>
      <c r="H8" s="93">
        <f>'M-3 Windows and Doors'!G12</f>
        <v>0</v>
      </c>
      <c r="I8" s="1"/>
      <c r="J8" s="1"/>
      <c r="K8" s="1"/>
      <c r="L8" s="1"/>
    </row>
    <row r="9" spans="1:12" ht="23.25" customHeight="1" x14ac:dyDescent="0.25">
      <c r="A9" s="100"/>
      <c r="B9" s="1977"/>
      <c r="C9" s="263"/>
      <c r="D9" s="1"/>
      <c r="E9" s="1972" t="s">
        <v>1605</v>
      </c>
      <c r="F9" s="1972"/>
      <c r="G9" s="93">
        <v>2</v>
      </c>
      <c r="H9" s="93">
        <f ca="1">'M-4 Flooring Materials'!G12</f>
        <v>0</v>
      </c>
      <c r="I9" s="1"/>
      <c r="J9" s="1"/>
      <c r="K9" s="1"/>
      <c r="L9" s="1"/>
    </row>
    <row r="10" spans="1:12" ht="23.25" customHeight="1" x14ac:dyDescent="0.25">
      <c r="A10" s="100"/>
      <c r="B10" s="1977"/>
      <c r="C10" s="263"/>
      <c r="D10" s="1"/>
      <c r="E10" s="1972" t="s">
        <v>1606</v>
      </c>
      <c r="F10" s="1972"/>
      <c r="G10" s="93">
        <v>2</v>
      </c>
      <c r="H10" s="93">
        <f ca="1">'M-5 Roofing Materials'!G12</f>
        <v>0</v>
      </c>
      <c r="I10" s="3"/>
      <c r="J10" s="3"/>
      <c r="K10" s="3"/>
      <c r="L10" s="3"/>
    </row>
    <row r="11" spans="1:12" ht="23.25" customHeight="1" x14ac:dyDescent="0.25">
      <c r="A11" s="100"/>
      <c r="B11" s="1977"/>
      <c r="C11" s="278"/>
      <c r="D11" s="1"/>
      <c r="E11" s="1972" t="s">
        <v>756</v>
      </c>
      <c r="F11" s="1972"/>
      <c r="G11" s="93">
        <v>2</v>
      </c>
      <c r="H11" s="93">
        <f>'M-6 Furniture'!G12</f>
        <v>0</v>
      </c>
      <c r="I11" s="3"/>
      <c r="J11" s="3"/>
      <c r="K11" s="3"/>
      <c r="L11" s="3"/>
    </row>
    <row r="12" spans="1:12" ht="24" customHeight="1" x14ac:dyDescent="0.25">
      <c r="A12" s="100"/>
      <c r="B12" s="1977"/>
      <c r="C12" s="263"/>
      <c r="D12" s="1"/>
      <c r="E12" s="1974" t="s">
        <v>79</v>
      </c>
      <c r="F12" s="1975"/>
      <c r="G12" s="102">
        <f>SUM(G6:G11)</f>
        <v>14</v>
      </c>
      <c r="H12" s="102">
        <f ca="1">SUM(H6:H11)</f>
        <v>0</v>
      </c>
      <c r="I12" s="1"/>
      <c r="J12" s="1"/>
      <c r="K12" s="1"/>
      <c r="L12" s="1"/>
    </row>
    <row r="13" spans="1:12" ht="15" customHeight="1" x14ac:dyDescent="0.25">
      <c r="A13" s="100"/>
      <c r="B13" s="101"/>
      <c r="C13" s="101"/>
      <c r="D13" s="1"/>
      <c r="E13" s="1"/>
      <c r="F13" s="1"/>
      <c r="G13" s="1"/>
      <c r="H13" s="1"/>
      <c r="I13" s="1"/>
      <c r="J13" s="1"/>
      <c r="K13" s="1"/>
      <c r="L13" s="1"/>
    </row>
    <row r="14" spans="1:12" ht="15" customHeight="1" x14ac:dyDescent="0.25">
      <c r="A14" s="100"/>
      <c r="B14" s="101"/>
      <c r="C14" s="101"/>
      <c r="D14" s="1"/>
      <c r="E14" s="1"/>
      <c r="F14" s="1"/>
      <c r="G14" s="1"/>
      <c r="H14" s="1"/>
      <c r="I14" s="1"/>
      <c r="J14" s="1"/>
      <c r="K14" s="1"/>
      <c r="L14" s="1"/>
    </row>
    <row r="15" spans="1:12" ht="15" customHeight="1" x14ac:dyDescent="0.25">
      <c r="A15" s="1973"/>
      <c r="B15" s="1973"/>
      <c r="C15" s="261"/>
      <c r="D15" s="1"/>
      <c r="E15" s="1"/>
      <c r="F15" s="1"/>
      <c r="G15" s="1"/>
      <c r="H15" s="1"/>
      <c r="I15" s="1"/>
      <c r="J15" s="1"/>
      <c r="K15" s="1"/>
      <c r="L15" s="1"/>
    </row>
    <row r="16" spans="1:12" ht="15" hidden="1" customHeight="1" x14ac:dyDescent="0.25">
      <c r="A16" s="87"/>
      <c r="B16" s="99"/>
      <c r="C16" s="99"/>
      <c r="D16" s="1"/>
      <c r="E16" s="1"/>
      <c r="F16" s="1"/>
      <c r="G16" s="1"/>
      <c r="H16" s="1"/>
      <c r="I16" s="1"/>
      <c r="J16" s="1"/>
      <c r="K16" s="1"/>
      <c r="L16" s="1"/>
    </row>
    <row r="17" spans="1:12" ht="15" hidden="1" customHeight="1" x14ac:dyDescent="0.25">
      <c r="A17" s="87"/>
      <c r="B17" s="99"/>
      <c r="C17" s="99"/>
      <c r="D17" s="1"/>
      <c r="E17" s="1"/>
      <c r="F17" s="1"/>
      <c r="G17" s="1"/>
      <c r="H17" s="1"/>
      <c r="I17" s="1"/>
      <c r="J17" s="1"/>
      <c r="K17" s="1"/>
      <c r="L17" s="1"/>
    </row>
    <row r="18" spans="1:12" ht="15" hidden="1" customHeight="1" x14ac:dyDescent="0.25">
      <c r="A18" s="87"/>
      <c r="B18" s="99"/>
      <c r="C18" s="99"/>
      <c r="D18" s="1"/>
      <c r="E18" s="1"/>
      <c r="F18" s="1"/>
      <c r="G18" s="1"/>
      <c r="H18" s="1"/>
      <c r="I18" s="1"/>
      <c r="J18" s="1"/>
      <c r="K18" s="1"/>
      <c r="L18" s="1"/>
    </row>
    <row r="19" spans="1:12" ht="15" hidden="1" customHeight="1" x14ac:dyDescent="0.25">
      <c r="A19" s="87"/>
      <c r="B19" s="99"/>
      <c r="C19" s="99"/>
      <c r="D19" s="1"/>
      <c r="E19" s="1"/>
      <c r="F19" s="1"/>
      <c r="G19" s="1"/>
      <c r="H19" s="1"/>
      <c r="I19" s="1"/>
      <c r="J19" s="1"/>
      <c r="K19" s="1"/>
      <c r="L19" s="1"/>
    </row>
    <row r="20" spans="1:12" ht="15" hidden="1" customHeight="1" x14ac:dyDescent="0.25">
      <c r="A20" s="1"/>
      <c r="B20" s="2"/>
      <c r="C20" s="2"/>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I44" s="1"/>
      <c r="J44" s="1"/>
      <c r="K44" s="1"/>
      <c r="L44" s="1"/>
    </row>
    <row r="45" spans="1:12" ht="15" hidden="1" customHeight="1" x14ac:dyDescent="0.25">
      <c r="A45" s="1"/>
      <c r="B45" s="2"/>
      <c r="C45" s="2"/>
      <c r="D45" s="1"/>
      <c r="I45" s="1"/>
      <c r="J45" s="1"/>
      <c r="K45" s="1"/>
      <c r="L45" s="1"/>
    </row>
    <row r="46" spans="1:12" ht="15" hidden="1" customHeight="1" x14ac:dyDescent="0.25"/>
    <row r="47" spans="1:12" ht="15" hidden="1" customHeight="1" x14ac:dyDescent="0.25"/>
    <row r="48" spans="1:12" ht="15" hidden="1" customHeight="1" x14ac:dyDescent="0.25"/>
    <row r="49" spans="13:13" ht="15" hidden="1" customHeight="1" x14ac:dyDescent="0.25"/>
    <row r="50" spans="13:13" ht="15" hidden="1" customHeight="1" x14ac:dyDescent="0.25">
      <c r="M50" t="s">
        <v>991</v>
      </c>
    </row>
    <row r="51" spans="13:13" ht="15" hidden="1" customHeight="1" x14ac:dyDescent="0.25"/>
    <row r="52" spans="13:13" ht="15" hidden="1" customHeight="1" x14ac:dyDescent="0.25"/>
    <row r="53" spans="13:13" ht="15" hidden="1" customHeight="1" x14ac:dyDescent="0.25"/>
    <row r="54" spans="13:13" ht="15" hidden="1" customHeight="1" x14ac:dyDescent="0.25"/>
    <row r="55" spans="13:13" ht="15" hidden="1" customHeight="1" x14ac:dyDescent="0.25"/>
    <row r="56" spans="13:13" ht="15" hidden="1" customHeight="1" x14ac:dyDescent="0.25"/>
  </sheetData>
  <sheetProtection algorithmName="SHA-512" hashValue="a1Q/F+Ok1WPijQNDsnOW01blVntrn64OJTgEV4PPzoKWKx4DDMNIAkb4AvHhMjjAN8pcNuKf4S2snp91uWdF9A==" saltValue="5k4/uQ6c/Ai7EOJYmt9HfA==" spinCount="100000" sheet="1" objects="1" scenarios="1"/>
  <mergeCells count="13">
    <mergeCell ref="B1:B3"/>
    <mergeCell ref="B4:B12"/>
    <mergeCell ref="E4:F5"/>
    <mergeCell ref="E8:F8"/>
    <mergeCell ref="E11:F11"/>
    <mergeCell ref="G4:G5"/>
    <mergeCell ref="H4:H5"/>
    <mergeCell ref="E6:F6"/>
    <mergeCell ref="E7:F7"/>
    <mergeCell ref="A15:B15"/>
    <mergeCell ref="E9:F9"/>
    <mergeCell ref="E10:F10"/>
    <mergeCell ref="E12:F12"/>
  </mergeCells>
  <hyperlinks>
    <hyperlink ref="E6:F6" location="'M-1 Structure Materials'!A1" tooltip="M-1 Building Structure" display="M-1 Building Structure Materials" xr:uid="{00000000-0004-0000-1900-000000000000}"/>
    <hyperlink ref="E7:F7" location="'M-2 Non-structural walls'!D3" tooltip="M-2 Non-structural walls" display="M-2 Non-structural walls" xr:uid="{00000000-0004-0000-1900-000001000000}"/>
    <hyperlink ref="E8:F8" location="'M-3 Windows and doors'!D3" tooltip="M-3 Windows and doors" display="M-3 Windows and doors" xr:uid="{00000000-0004-0000-1900-000002000000}"/>
    <hyperlink ref="E9:F9" location="'M-4 Flooring materials'!D3" tooltip="M-4 Flooring materials" display="M-4 Flooring materials" xr:uid="{00000000-0004-0000-1900-000003000000}"/>
    <hyperlink ref="E10:F10" location="'M-5 Roofing materials'!D3" tooltip="M-5 Roofing materials" display="M-5 Roofing materials" xr:uid="{00000000-0004-0000-1900-000004000000}"/>
    <hyperlink ref="E11:F11" location="'M-6 Furniture'!D3" tooltip="M-6 Furniture" display="M-6 Furniture" xr:uid="{00000000-0004-0000-1900-000005000000}"/>
  </hyperlinks>
  <pageMargins left="0.7" right="0.7" top="0.75" bottom="0.75" header="0.3" footer="0.3"/>
  <pageSetup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tabColor rgb="FF5F4970"/>
  </sheetPr>
  <dimension ref="A1:S209"/>
  <sheetViews>
    <sheetView showRowColHeaders="0" workbookViewId="0">
      <pane ySplit="8" topLeftCell="A9" activePane="bottomLeft" state="frozen"/>
      <selection pane="bottomLeft" activeCell="B12" sqref="B12:E12"/>
    </sheetView>
  </sheetViews>
  <sheetFormatPr defaultColWidth="0" defaultRowHeight="15" customHeight="1" zeroHeight="1" x14ac:dyDescent="0.25"/>
  <cols>
    <col min="1" max="1" width="3.7109375" customWidth="1"/>
    <col min="2" max="2" width="23.140625" customWidth="1"/>
    <col min="3" max="3" width="21.5703125" customWidth="1"/>
    <col min="4" max="4" width="20.28515625" customWidth="1"/>
    <col min="5" max="5" width="15.140625" customWidth="1"/>
    <col min="6" max="6" width="20.7109375" customWidth="1"/>
    <col min="7" max="8" width="17.7109375" customWidth="1"/>
    <col min="9" max="9" width="10.7109375" customWidth="1"/>
    <col min="10" max="11" width="8.7109375" customWidth="1"/>
    <col min="12" max="16384" width="9.140625" hidden="1"/>
  </cols>
  <sheetData>
    <row r="1" spans="1:14" ht="24" customHeight="1" x14ac:dyDescent="0.25">
      <c r="A1" s="1996" t="s">
        <v>1602</v>
      </c>
      <c r="B1" s="1996"/>
      <c r="C1" s="1996"/>
      <c r="D1" s="1996"/>
      <c r="E1" s="1996"/>
      <c r="F1" s="1996"/>
      <c r="G1" s="1996"/>
      <c r="H1" s="1996"/>
      <c r="I1" s="1996"/>
      <c r="J1" s="1996"/>
      <c r="K1" s="1996"/>
    </row>
    <row r="2" spans="1:14" ht="15" customHeight="1" x14ac:dyDescent="0.25">
      <c r="A2" s="4"/>
      <c r="B2" s="4"/>
      <c r="C2" s="4"/>
      <c r="D2" s="4"/>
      <c r="E2" s="4"/>
      <c r="F2" s="4"/>
      <c r="G2" s="5"/>
      <c r="H2" s="1585" t="s">
        <v>1743</v>
      </c>
      <c r="I2" s="1585"/>
      <c r="J2" s="744" t="s">
        <v>60</v>
      </c>
      <c r="K2" s="744" t="s">
        <v>72</v>
      </c>
    </row>
    <row r="3" spans="1:14" ht="15" customHeight="1" x14ac:dyDescent="0.25">
      <c r="A3" s="4"/>
      <c r="B3" s="4"/>
      <c r="C3" s="4"/>
      <c r="D3" s="4"/>
      <c r="E3" s="4"/>
      <c r="F3" s="4"/>
      <c r="G3" s="5"/>
      <c r="H3" s="1585"/>
      <c r="I3" s="1585"/>
      <c r="J3" s="744" t="s">
        <v>64</v>
      </c>
      <c r="K3" s="744" t="s">
        <v>591</v>
      </c>
    </row>
    <row r="4" spans="1:14" ht="15" customHeight="1" x14ac:dyDescent="0.25">
      <c r="A4" s="4"/>
      <c r="B4" s="4"/>
      <c r="C4" s="4"/>
      <c r="D4" s="4"/>
      <c r="E4" s="4"/>
      <c r="F4" s="4"/>
      <c r="G4" s="5"/>
      <c r="H4" s="1586"/>
      <c r="I4" s="1586"/>
      <c r="J4" s="744" t="s">
        <v>68</v>
      </c>
      <c r="K4" s="744"/>
    </row>
    <row r="5" spans="1:14" s="38" customFormat="1" ht="16.5" customHeight="1" x14ac:dyDescent="0.25">
      <c r="A5" s="1600" t="s">
        <v>2598</v>
      </c>
      <c r="B5" s="1601"/>
      <c r="C5" s="1601"/>
      <c r="D5" s="1601"/>
      <c r="E5" s="1601"/>
      <c r="F5" s="1601"/>
      <c r="G5" s="1601"/>
      <c r="H5" s="1601"/>
      <c r="I5" s="1601"/>
      <c r="J5" s="1601"/>
      <c r="K5" s="1601"/>
      <c r="L5"/>
      <c r="M5"/>
      <c r="N5"/>
    </row>
    <row r="6" spans="1:14" s="38" customFormat="1" ht="16.5" customHeight="1" x14ac:dyDescent="0.25">
      <c r="A6" s="1603"/>
      <c r="B6" s="1604"/>
      <c r="C6" s="1604"/>
      <c r="D6" s="1604"/>
      <c r="E6" s="1604"/>
      <c r="F6" s="1604"/>
      <c r="G6" s="1604"/>
      <c r="H6" s="1604"/>
      <c r="I6" s="1604"/>
      <c r="J6" s="1604"/>
      <c r="K6" s="1604"/>
      <c r="L6"/>
      <c r="M6"/>
      <c r="N6"/>
    </row>
    <row r="7" spans="1:14" s="38" customFormat="1" ht="16.5" customHeight="1" x14ac:dyDescent="0.25">
      <c r="A7" s="1606"/>
      <c r="B7" s="1607"/>
      <c r="C7" s="1607"/>
      <c r="D7" s="1607"/>
      <c r="E7" s="1607"/>
      <c r="F7" s="1607"/>
      <c r="G7" s="1607"/>
      <c r="H7" s="1607"/>
      <c r="I7" s="1607"/>
      <c r="J7" s="1607"/>
      <c r="K7" s="1607"/>
      <c r="L7"/>
      <c r="M7"/>
      <c r="N7"/>
    </row>
    <row r="8" spans="1:14" s="38" customFormat="1" ht="10.5" customHeight="1" x14ac:dyDescent="0.25">
      <c r="A8" s="49"/>
      <c r="B8" s="50"/>
      <c r="C8" s="50"/>
      <c r="D8" s="50"/>
      <c r="E8" s="50"/>
      <c r="F8" s="49"/>
      <c r="G8" s="49"/>
      <c r="H8" s="49"/>
      <c r="I8" s="49"/>
      <c r="J8" s="49"/>
      <c r="K8" s="49"/>
      <c r="L8" s="49"/>
      <c r="M8" s="49"/>
    </row>
    <row r="9" spans="1:14" ht="18" customHeight="1" x14ac:dyDescent="0.25">
      <c r="A9" s="1979" t="s">
        <v>177</v>
      </c>
      <c r="B9" s="1979"/>
      <c r="C9" s="1979"/>
      <c r="D9" s="1979"/>
      <c r="E9" s="1979"/>
      <c r="F9" s="1979"/>
      <c r="G9" s="1979"/>
      <c r="H9" s="1979"/>
      <c r="I9" s="1979"/>
      <c r="J9" s="1979"/>
      <c r="K9" s="1979"/>
    </row>
    <row r="10" spans="1:14" ht="16.5" customHeight="1" x14ac:dyDescent="0.25">
      <c r="A10" s="5"/>
      <c r="B10" s="4"/>
      <c r="C10" s="4"/>
      <c r="D10" s="4"/>
      <c r="E10" s="4"/>
      <c r="F10" s="5"/>
      <c r="G10" s="5"/>
      <c r="H10" s="5"/>
      <c r="I10" s="5"/>
      <c r="J10" s="5"/>
      <c r="K10" s="5"/>
    </row>
    <row r="11" spans="1:14" ht="19.5" customHeight="1" x14ac:dyDescent="0.25">
      <c r="A11" s="5"/>
      <c r="B11" s="1989" t="s">
        <v>178</v>
      </c>
      <c r="C11" s="1990"/>
      <c r="D11" s="1990"/>
      <c r="E11" s="1990"/>
      <c r="F11" s="437" t="s">
        <v>152</v>
      </c>
      <c r="G11" s="437" t="s">
        <v>53</v>
      </c>
      <c r="H11" s="288" t="s">
        <v>492</v>
      </c>
      <c r="I11" s="5"/>
      <c r="J11" s="5"/>
      <c r="K11" s="5"/>
    </row>
    <row r="12" spans="1:14" ht="45" customHeight="1" x14ac:dyDescent="0.25">
      <c r="A12" s="5"/>
      <c r="B12" s="1676" t="s">
        <v>989</v>
      </c>
      <c r="C12" s="1677"/>
      <c r="D12" s="1677"/>
      <c r="E12" s="1678"/>
      <c r="F12" s="36">
        <v>3</v>
      </c>
      <c r="G12" s="470">
        <f ca="1">C72</f>
        <v>0</v>
      </c>
      <c r="H12" s="470" t="str">
        <f ca="1">C73</f>
        <v>No</v>
      </c>
      <c r="I12" s="5"/>
      <c r="J12" s="5"/>
      <c r="K12" s="5"/>
    </row>
    <row r="13" spans="1:14" ht="16.5" customHeight="1" x14ac:dyDescent="0.25">
      <c r="A13" s="5"/>
      <c r="B13" s="4"/>
      <c r="C13" s="4"/>
      <c r="D13" s="4"/>
      <c r="E13" s="4"/>
      <c r="F13" s="5"/>
      <c r="G13" s="5"/>
      <c r="H13" s="5"/>
      <c r="I13" s="5"/>
      <c r="J13" s="5"/>
      <c r="K13" s="5"/>
    </row>
    <row r="14" spans="1:14" ht="18" customHeight="1" x14ac:dyDescent="0.25">
      <c r="A14" s="1979" t="s">
        <v>245</v>
      </c>
      <c r="B14" s="1979"/>
      <c r="C14" s="1979"/>
      <c r="D14" s="1979"/>
      <c r="E14" s="1979"/>
      <c r="F14" s="1979"/>
      <c r="G14" s="1979"/>
      <c r="H14" s="1979"/>
      <c r="I14" s="1979"/>
      <c r="J14" s="1979"/>
      <c r="K14" s="1979"/>
    </row>
    <row r="15" spans="1:14" x14ac:dyDescent="0.25">
      <c r="A15" s="4"/>
      <c r="B15" s="4"/>
      <c r="C15" s="4"/>
      <c r="D15" s="4"/>
      <c r="E15" s="4"/>
      <c r="F15" s="4"/>
      <c r="G15" s="4"/>
      <c r="H15" s="4"/>
      <c r="I15" s="4"/>
      <c r="J15" s="4"/>
      <c r="K15" s="4"/>
    </row>
    <row r="16" spans="1:14" x14ac:dyDescent="0.25">
      <c r="A16" s="4"/>
      <c r="B16" s="593" t="s">
        <v>1330</v>
      </c>
      <c r="C16" s="4"/>
      <c r="D16" s="4"/>
      <c r="E16" s="4"/>
      <c r="F16" s="4"/>
      <c r="G16" s="4"/>
      <c r="H16" s="4"/>
      <c r="I16" s="4"/>
      <c r="J16" s="4"/>
      <c r="K16" s="4"/>
    </row>
    <row r="17" spans="1:11" x14ac:dyDescent="0.25">
      <c r="A17" s="4"/>
      <c r="B17" s="4"/>
      <c r="C17" s="4"/>
      <c r="D17" s="4"/>
      <c r="E17" s="4"/>
      <c r="F17" s="4"/>
      <c r="G17" s="4"/>
      <c r="H17" s="4"/>
      <c r="I17" s="4"/>
      <c r="J17" s="4"/>
      <c r="K17" s="4"/>
    </row>
    <row r="18" spans="1:11" x14ac:dyDescent="0.25">
      <c r="A18" s="4"/>
      <c r="B18" s="592" t="s">
        <v>774</v>
      </c>
      <c r="C18" s="4"/>
      <c r="D18" s="4"/>
      <c r="E18" s="4"/>
      <c r="F18" s="4"/>
      <c r="G18" s="4"/>
      <c r="H18" s="4"/>
      <c r="I18" s="4"/>
      <c r="J18" s="4"/>
      <c r="K18" s="4"/>
    </row>
    <row r="19" spans="1:11" x14ac:dyDescent="0.25">
      <c r="A19" s="4"/>
      <c r="B19" s="746" t="s">
        <v>775</v>
      </c>
      <c r="C19" s="4"/>
      <c r="D19" s="4"/>
      <c r="E19" s="4"/>
      <c r="F19" s="4"/>
      <c r="G19" s="4"/>
      <c r="H19" s="4"/>
      <c r="I19" s="4"/>
      <c r="J19" s="4"/>
      <c r="K19" s="4"/>
    </row>
    <row r="20" spans="1:11" x14ac:dyDescent="0.25">
      <c r="A20" s="4"/>
      <c r="B20" s="603" t="s">
        <v>776</v>
      </c>
      <c r="C20" s="4"/>
      <c r="D20" s="4"/>
      <c r="E20" s="4"/>
      <c r="F20" s="4"/>
      <c r="G20" s="4"/>
      <c r="H20" s="4"/>
      <c r="I20" s="4"/>
      <c r="J20" s="4"/>
      <c r="K20" s="4"/>
    </row>
    <row r="21" spans="1:11" x14ac:dyDescent="0.25">
      <c r="A21" s="4"/>
      <c r="B21" s="603" t="s">
        <v>777</v>
      </c>
      <c r="C21" s="4"/>
      <c r="D21" s="4"/>
      <c r="E21" s="4"/>
      <c r="F21" s="4"/>
      <c r="G21" s="4"/>
      <c r="H21" s="4"/>
      <c r="I21" s="4"/>
      <c r="J21" s="4"/>
      <c r="K21" s="4"/>
    </row>
    <row r="22" spans="1:11" x14ac:dyDescent="0.25">
      <c r="A22" s="4"/>
      <c r="B22" s="603" t="s">
        <v>778</v>
      </c>
      <c r="C22" s="4"/>
      <c r="D22" s="4"/>
      <c r="E22" s="4"/>
      <c r="F22" s="4"/>
      <c r="G22" s="4"/>
      <c r="H22" s="4"/>
      <c r="I22" s="4"/>
      <c r="J22" s="4"/>
      <c r="K22" s="4"/>
    </row>
    <row r="23" spans="1:11" x14ac:dyDescent="0.25">
      <c r="A23" s="4"/>
      <c r="B23" s="603" t="s">
        <v>779</v>
      </c>
      <c r="C23" s="4"/>
      <c r="D23" s="4"/>
      <c r="E23" s="4"/>
      <c r="F23" s="4"/>
      <c r="G23" s="4"/>
      <c r="H23" s="4"/>
      <c r="I23" s="4"/>
      <c r="J23" s="4"/>
      <c r="K23" s="4"/>
    </row>
    <row r="24" spans="1:11" x14ac:dyDescent="0.25">
      <c r="A24" s="4"/>
      <c r="B24" s="603" t="s">
        <v>780</v>
      </c>
      <c r="C24" s="4"/>
      <c r="D24" s="4"/>
      <c r="E24" s="4"/>
      <c r="F24" s="4"/>
      <c r="G24" s="4"/>
      <c r="H24" s="4"/>
      <c r="I24" s="4"/>
      <c r="J24" s="4"/>
      <c r="K24" s="4"/>
    </row>
    <row r="25" spans="1:11" x14ac:dyDescent="0.25">
      <c r="A25" s="4"/>
      <c r="B25" s="4"/>
      <c r="C25" s="4"/>
      <c r="D25" s="4"/>
      <c r="E25" s="4"/>
      <c r="F25" s="4"/>
      <c r="G25" s="4"/>
      <c r="H25" s="4"/>
      <c r="I25" s="4"/>
      <c r="J25" s="4"/>
      <c r="K25" s="4"/>
    </row>
    <row r="26" spans="1:11" x14ac:dyDescent="0.25">
      <c r="A26" s="4"/>
      <c r="B26" s="1991" t="s">
        <v>767</v>
      </c>
      <c r="C26" s="1992"/>
      <c r="D26" s="1992"/>
      <c r="E26" s="1992"/>
      <c r="F26" s="1992"/>
      <c r="G26" s="1992"/>
      <c r="H26" s="1993"/>
      <c r="I26" s="4"/>
      <c r="J26" s="4"/>
      <c r="K26" s="4"/>
    </row>
    <row r="27" spans="1:11" x14ac:dyDescent="0.25">
      <c r="A27" s="4"/>
      <c r="B27" s="1620" t="s">
        <v>972</v>
      </c>
      <c r="C27" s="1621"/>
      <c r="D27" s="1621"/>
      <c r="E27" s="1621"/>
      <c r="F27" s="1621"/>
      <c r="G27" s="1621"/>
      <c r="H27" s="1622"/>
      <c r="I27" s="4"/>
      <c r="J27" s="4"/>
      <c r="K27" s="4"/>
    </row>
    <row r="28" spans="1:11" x14ac:dyDescent="0.25">
      <c r="A28" s="4"/>
      <c r="B28" s="1620" t="s">
        <v>1321</v>
      </c>
      <c r="C28" s="1621"/>
      <c r="D28" s="1621"/>
      <c r="E28" s="1621"/>
      <c r="F28" s="1621"/>
      <c r="G28" s="1621"/>
      <c r="H28" s="1622"/>
      <c r="I28" s="4"/>
      <c r="J28" s="4"/>
      <c r="K28" s="4"/>
    </row>
    <row r="29" spans="1:11" x14ac:dyDescent="0.25">
      <c r="A29" s="4"/>
      <c r="B29" s="1620" t="s">
        <v>750</v>
      </c>
      <c r="C29" s="1621"/>
      <c r="D29" s="1621"/>
      <c r="E29" s="1621"/>
      <c r="F29" s="1621"/>
      <c r="G29" s="1621"/>
      <c r="H29" s="1622"/>
      <c r="I29" s="4"/>
      <c r="J29" s="4"/>
      <c r="K29" s="4"/>
    </row>
    <row r="30" spans="1:11" x14ac:dyDescent="0.25">
      <c r="A30" s="4"/>
      <c r="B30" s="1620" t="s">
        <v>751</v>
      </c>
      <c r="C30" s="1621"/>
      <c r="D30" s="1621"/>
      <c r="E30" s="1621"/>
      <c r="F30" s="1621"/>
      <c r="G30" s="1621"/>
      <c r="H30" s="1622"/>
      <c r="I30" s="4"/>
      <c r="J30" s="4"/>
      <c r="K30" s="4"/>
    </row>
    <row r="31" spans="1:11" x14ac:dyDescent="0.25">
      <c r="A31" s="4"/>
      <c r="B31" s="1620" t="s">
        <v>960</v>
      </c>
      <c r="C31" s="1621"/>
      <c r="D31" s="1621"/>
      <c r="E31" s="1621"/>
      <c r="F31" s="1621"/>
      <c r="G31" s="1621"/>
      <c r="H31" s="1622"/>
      <c r="I31" s="4"/>
      <c r="J31" s="4"/>
      <c r="K31" s="4"/>
    </row>
    <row r="32" spans="1:11" x14ac:dyDescent="0.25">
      <c r="A32" s="4"/>
      <c r="B32" s="1647" t="s">
        <v>781</v>
      </c>
      <c r="C32" s="1648"/>
      <c r="D32" s="1648"/>
      <c r="E32" s="1648"/>
      <c r="F32" s="1648"/>
      <c r="G32" s="1648"/>
      <c r="H32" s="1649"/>
      <c r="I32" s="4"/>
      <c r="J32" s="4"/>
      <c r="K32" s="4"/>
    </row>
    <row r="33" spans="1:19" ht="18" customHeight="1" x14ac:dyDescent="0.25">
      <c r="A33" s="4"/>
      <c r="B33" s="4"/>
      <c r="C33" s="4"/>
      <c r="D33" s="4"/>
      <c r="E33" s="4"/>
      <c r="F33" s="4"/>
      <c r="G33" s="4"/>
      <c r="H33" s="4"/>
      <c r="I33" s="4"/>
      <c r="J33" s="4"/>
      <c r="K33" s="4"/>
    </row>
    <row r="34" spans="1:19" ht="18" customHeight="1" x14ac:dyDescent="0.25">
      <c r="A34" s="1979" t="s">
        <v>23</v>
      </c>
      <c r="B34" s="1979"/>
      <c r="C34" s="1979"/>
      <c r="D34" s="1979"/>
      <c r="E34" s="1979"/>
      <c r="F34" s="1979"/>
      <c r="G34" s="1979"/>
      <c r="H34" s="1979"/>
      <c r="I34" s="1979"/>
      <c r="J34" s="1979"/>
      <c r="K34" s="1979"/>
    </row>
    <row r="35" spans="1:19" x14ac:dyDescent="0.25">
      <c r="A35" s="4"/>
      <c r="B35" s="4"/>
      <c r="C35" s="4"/>
      <c r="D35" s="4"/>
      <c r="E35" s="4"/>
      <c r="F35" s="4"/>
      <c r="G35" s="4"/>
      <c r="H35" s="4"/>
      <c r="I35" s="4"/>
      <c r="J35" s="4"/>
      <c r="K35" s="4"/>
    </row>
    <row r="36" spans="1:19" x14ac:dyDescent="0.25">
      <c r="A36" s="4"/>
      <c r="B36" s="747" t="s">
        <v>1322</v>
      </c>
      <c r="C36" s="4"/>
      <c r="D36" s="4"/>
      <c r="E36" s="4"/>
      <c r="F36" s="4"/>
      <c r="G36" s="4"/>
      <c r="H36" s="4"/>
      <c r="I36" s="4"/>
      <c r="J36" s="4"/>
      <c r="K36" s="4"/>
    </row>
    <row r="37" spans="1:19" ht="18.75" customHeight="1" x14ac:dyDescent="0.25">
      <c r="A37" s="4"/>
      <c r="B37" s="293"/>
      <c r="C37" s="4"/>
      <c r="D37" s="4"/>
      <c r="E37" s="4"/>
      <c r="F37" s="4"/>
      <c r="G37" s="4"/>
      <c r="H37" s="4"/>
      <c r="I37" s="4"/>
      <c r="J37" s="4"/>
      <c r="K37" s="4"/>
    </row>
    <row r="38" spans="1:19" x14ac:dyDescent="0.25">
      <c r="A38" s="4"/>
      <c r="B38" s="642" t="s">
        <v>1102</v>
      </c>
      <c r="C38" s="4"/>
      <c r="D38" s="4"/>
      <c r="E38" s="4"/>
      <c r="F38" s="4"/>
      <c r="G38" s="4"/>
      <c r="H38" s="4"/>
      <c r="I38" s="4"/>
      <c r="J38" s="4"/>
      <c r="K38" s="4"/>
    </row>
    <row r="39" spans="1:19" ht="13.5" customHeight="1" x14ac:dyDescent="0.25">
      <c r="A39" s="4"/>
      <c r="B39" s="293"/>
      <c r="C39" s="4"/>
      <c r="D39" s="4"/>
      <c r="E39" s="4"/>
      <c r="F39" s="4"/>
      <c r="G39" s="4"/>
      <c r="H39" s="4"/>
      <c r="I39" s="4"/>
      <c r="J39" s="4"/>
      <c r="K39" s="4"/>
    </row>
    <row r="40" spans="1:19" x14ac:dyDescent="0.25">
      <c r="A40" s="4"/>
      <c r="B40" s="1994" t="s">
        <v>592</v>
      </c>
      <c r="C40" s="1995"/>
      <c r="D40" s="289" t="s">
        <v>124</v>
      </c>
      <c r="E40" s="4"/>
      <c r="F40" s="4"/>
      <c r="G40" s="4"/>
      <c r="H40" s="4"/>
      <c r="I40" s="4"/>
      <c r="J40" s="4"/>
      <c r="K40" s="4"/>
    </row>
    <row r="41" spans="1:19" x14ac:dyDescent="0.25">
      <c r="A41" s="4"/>
      <c r="B41" s="433" t="s">
        <v>593</v>
      </c>
      <c r="C41" s="4"/>
      <c r="D41" s="4"/>
      <c r="E41" s="4"/>
      <c r="F41" s="4"/>
      <c r="G41" s="4"/>
      <c r="H41" s="4"/>
      <c r="I41" s="4"/>
      <c r="J41" s="4"/>
      <c r="K41" s="4"/>
    </row>
    <row r="42" spans="1:19" ht="12" customHeight="1" x14ac:dyDescent="0.25">
      <c r="A42" s="4"/>
      <c r="B42" s="4"/>
      <c r="C42" s="4"/>
      <c r="D42" s="4"/>
      <c r="E42" s="4"/>
      <c r="F42" s="4"/>
      <c r="G42" s="4"/>
      <c r="H42" s="4"/>
      <c r="I42" s="4"/>
      <c r="J42" s="4"/>
      <c r="K42" s="4"/>
    </row>
    <row r="43" spans="1:19" ht="19.5" customHeight="1" x14ac:dyDescent="0.25">
      <c r="A43" s="4"/>
      <c r="B43" s="431" t="s">
        <v>1405</v>
      </c>
      <c r="C43" s="432" t="str">
        <f>IF(D40="Volume (m3)","Volume (m3)",IF(D40="Mass (kg)","Mass (kg)","Volume/Mass"))</f>
        <v>Volume/Mass</v>
      </c>
      <c r="D43" s="1987" t="s">
        <v>654</v>
      </c>
      <c r="E43" s="1987"/>
      <c r="F43" s="1987" t="s">
        <v>30</v>
      </c>
      <c r="G43" s="1988"/>
      <c r="H43" s="4"/>
      <c r="I43" s="4"/>
      <c r="J43" s="4"/>
      <c r="K43" s="4"/>
    </row>
    <row r="44" spans="1:19" ht="17.25" customHeight="1" x14ac:dyDescent="0.25">
      <c r="A44" s="4"/>
      <c r="B44" s="524"/>
      <c r="C44" s="518"/>
      <c r="D44" s="1980" t="s">
        <v>124</v>
      </c>
      <c r="E44" s="1981"/>
      <c r="F44" s="1982"/>
      <c r="G44" s="1982"/>
      <c r="H44" s="4"/>
      <c r="I44" s="4"/>
      <c r="J44" s="4"/>
      <c r="K44" s="4"/>
      <c r="L44" t="s">
        <v>124</v>
      </c>
      <c r="M44" t="s">
        <v>1337</v>
      </c>
      <c r="N44" t="s">
        <v>1336</v>
      </c>
      <c r="O44" t="s">
        <v>1338</v>
      </c>
      <c r="P44" t="s">
        <v>1339</v>
      </c>
      <c r="Q44" t="s">
        <v>1345</v>
      </c>
      <c r="R44" t="s">
        <v>1556</v>
      </c>
      <c r="S44" t="s">
        <v>9</v>
      </c>
    </row>
    <row r="45" spans="1:19" ht="17.25" customHeight="1" x14ac:dyDescent="0.25">
      <c r="A45" s="4"/>
      <c r="B45" s="524"/>
      <c r="C45" s="517"/>
      <c r="D45" s="1980" t="s">
        <v>124</v>
      </c>
      <c r="E45" s="1981"/>
      <c r="F45" s="1982"/>
      <c r="G45" s="1982"/>
      <c r="H45" s="4"/>
      <c r="I45" s="4"/>
      <c r="J45" s="4"/>
      <c r="K45" s="4"/>
    </row>
    <row r="46" spans="1:19" ht="17.25" customHeight="1" x14ac:dyDescent="0.25">
      <c r="A46" s="4"/>
      <c r="B46" s="524"/>
      <c r="C46" s="517"/>
      <c r="D46" s="1980" t="s">
        <v>124</v>
      </c>
      <c r="E46" s="1981"/>
      <c r="F46" s="1982"/>
      <c r="G46" s="1982"/>
      <c r="H46" s="4"/>
      <c r="I46" s="4"/>
      <c r="J46" s="4"/>
      <c r="K46" s="4"/>
    </row>
    <row r="47" spans="1:19" ht="17.25" customHeight="1" x14ac:dyDescent="0.25">
      <c r="A47" s="4"/>
      <c r="B47" s="768"/>
      <c r="C47" s="769"/>
      <c r="D47" s="1980" t="s">
        <v>124</v>
      </c>
      <c r="E47" s="1981"/>
      <c r="F47" s="1982"/>
      <c r="G47" s="1982"/>
      <c r="H47" s="4"/>
      <c r="I47" s="4"/>
      <c r="J47" s="4"/>
      <c r="K47" s="4"/>
    </row>
    <row r="48" spans="1:19" ht="17.25" customHeight="1" x14ac:dyDescent="0.25">
      <c r="A48" s="4"/>
      <c r="B48" s="768"/>
      <c r="C48" s="769"/>
      <c r="D48" s="1980" t="s">
        <v>124</v>
      </c>
      <c r="E48" s="1981"/>
      <c r="F48" s="1982"/>
      <c r="G48" s="1982"/>
      <c r="H48" s="4"/>
      <c r="I48" s="4"/>
      <c r="J48" s="4"/>
      <c r="K48" s="4"/>
    </row>
    <row r="49" spans="1:11" ht="17.25" customHeight="1" x14ac:dyDescent="0.25">
      <c r="A49" s="4"/>
      <c r="B49" s="768"/>
      <c r="C49" s="769"/>
      <c r="D49" s="1980" t="s">
        <v>124</v>
      </c>
      <c r="E49" s="1981"/>
      <c r="F49" s="1982"/>
      <c r="G49" s="1982"/>
      <c r="H49" s="4"/>
      <c r="I49" s="4"/>
      <c r="J49" s="4"/>
      <c r="K49" s="4"/>
    </row>
    <row r="50" spans="1:11" ht="17.25" customHeight="1" x14ac:dyDescent="0.25">
      <c r="A50" s="4"/>
      <c r="B50" s="768"/>
      <c r="C50" s="769"/>
      <c r="D50" s="1980" t="s">
        <v>124</v>
      </c>
      <c r="E50" s="1981"/>
      <c r="F50" s="1982"/>
      <c r="G50" s="1982"/>
      <c r="H50" s="4"/>
      <c r="I50" s="4"/>
      <c r="J50" s="4"/>
      <c r="K50" s="4"/>
    </row>
    <row r="51" spans="1:11" ht="17.25" customHeight="1" x14ac:dyDescent="0.25">
      <c r="A51" s="4"/>
      <c r="B51" s="768"/>
      <c r="C51" s="769"/>
      <c r="D51" s="1980" t="s">
        <v>124</v>
      </c>
      <c r="E51" s="1981"/>
      <c r="F51" s="1982"/>
      <c r="G51" s="1982"/>
      <c r="H51" s="4"/>
      <c r="I51" s="4"/>
      <c r="J51" s="4"/>
      <c r="K51" s="4"/>
    </row>
    <row r="52" spans="1:11" ht="17.25" customHeight="1" x14ac:dyDescent="0.25">
      <c r="A52" s="4"/>
      <c r="B52" s="524"/>
      <c r="C52" s="517"/>
      <c r="D52" s="1980" t="s">
        <v>124</v>
      </c>
      <c r="E52" s="1981"/>
      <c r="F52" s="1982"/>
      <c r="G52" s="1982"/>
      <c r="H52" s="4"/>
      <c r="I52" s="4"/>
      <c r="J52" s="4"/>
      <c r="K52" s="4"/>
    </row>
    <row r="53" spans="1:11" ht="17.25" customHeight="1" x14ac:dyDescent="0.25">
      <c r="A53" s="4"/>
      <c r="B53" s="524"/>
      <c r="C53" s="517"/>
      <c r="D53" s="1980" t="s">
        <v>124</v>
      </c>
      <c r="E53" s="1981"/>
      <c r="F53" s="1982"/>
      <c r="G53" s="1982"/>
      <c r="H53" s="4"/>
      <c r="I53" s="4"/>
      <c r="J53" s="4"/>
      <c r="K53" s="4"/>
    </row>
    <row r="54" spans="1:11" ht="17.25" customHeight="1" x14ac:dyDescent="0.25">
      <c r="A54" s="4"/>
      <c r="B54" s="524"/>
      <c r="C54" s="517"/>
      <c r="D54" s="1980" t="s">
        <v>124</v>
      </c>
      <c r="E54" s="1981"/>
      <c r="F54" s="1982"/>
      <c r="G54" s="1982"/>
      <c r="H54" s="4"/>
      <c r="I54" s="4"/>
      <c r="J54" s="4"/>
      <c r="K54" s="4"/>
    </row>
    <row r="55" spans="1:11" ht="17.25" customHeight="1" x14ac:dyDescent="0.25">
      <c r="A55" s="4"/>
      <c r="B55" s="524"/>
      <c r="C55" s="517"/>
      <c r="D55" s="1980" t="s">
        <v>124</v>
      </c>
      <c r="E55" s="1981"/>
      <c r="F55" s="1982"/>
      <c r="G55" s="1982"/>
      <c r="H55" s="4"/>
      <c r="I55" s="4"/>
      <c r="J55" s="4"/>
      <c r="K55" s="4"/>
    </row>
    <row r="56" spans="1:11" ht="17.25" customHeight="1" x14ac:dyDescent="0.25">
      <c r="A56" s="4"/>
      <c r="B56" s="524"/>
      <c r="C56" s="517"/>
      <c r="D56" s="1980" t="s">
        <v>124</v>
      </c>
      <c r="E56" s="1981"/>
      <c r="F56" s="1982"/>
      <c r="G56" s="1982"/>
      <c r="H56" s="4"/>
      <c r="I56" s="4"/>
      <c r="J56" s="4"/>
      <c r="K56" s="4"/>
    </row>
    <row r="57" spans="1:11" ht="17.25" customHeight="1" x14ac:dyDescent="0.25">
      <c r="A57" s="4"/>
      <c r="B57" s="524"/>
      <c r="C57" s="517"/>
      <c r="D57" s="1980" t="s">
        <v>124</v>
      </c>
      <c r="E57" s="1981"/>
      <c r="F57" s="1982"/>
      <c r="G57" s="1982"/>
      <c r="H57" s="4"/>
      <c r="I57" s="4"/>
      <c r="J57" s="4"/>
      <c r="K57" s="4"/>
    </row>
    <row r="58" spans="1:11" ht="17.25" customHeight="1" x14ac:dyDescent="0.25">
      <c r="A58" s="4"/>
      <c r="B58" s="524"/>
      <c r="C58" s="517"/>
      <c r="D58" s="1980" t="s">
        <v>124</v>
      </c>
      <c r="E58" s="1981"/>
      <c r="F58" s="1982"/>
      <c r="G58" s="1982"/>
      <c r="H58" s="4"/>
      <c r="I58" s="4"/>
      <c r="J58" s="4"/>
      <c r="K58" s="4"/>
    </row>
    <row r="59" spans="1:11" x14ac:dyDescent="0.25">
      <c r="A59" s="4"/>
      <c r="B59" s="4"/>
      <c r="C59" s="4"/>
      <c r="D59" s="4"/>
      <c r="E59" s="4"/>
      <c r="F59" s="4"/>
      <c r="G59" s="4"/>
      <c r="H59" s="4"/>
      <c r="I59" s="4"/>
      <c r="J59" s="4"/>
      <c r="K59" s="4"/>
    </row>
    <row r="60" spans="1:11" ht="19.5" customHeight="1" x14ac:dyDescent="0.25">
      <c r="A60" s="4"/>
      <c r="B60" s="1983" t="str">
        <f>CONCATENATE("Sustainable structure materials",IF(D40="Volume (m3)"," (m3)",IF(D40="Mass (kg)"," (kg)","")))</f>
        <v>Sustainable structure materials</v>
      </c>
      <c r="C60" s="1984"/>
      <c r="D60" s="1339">
        <f ca="1">D61-SUMIF(D44:E58,"Select",C44:C58)-SUMIF(D44:E58,"No",C44:C58)</f>
        <v>0</v>
      </c>
      <c r="E60" s="4"/>
      <c r="F60" s="4"/>
      <c r="G60" s="4"/>
      <c r="H60" s="4"/>
      <c r="I60" s="4"/>
      <c r="J60" s="4"/>
      <c r="K60" s="4"/>
    </row>
    <row r="61" spans="1:11" ht="19.5" customHeight="1" x14ac:dyDescent="0.25">
      <c r="A61" s="4"/>
      <c r="B61" s="1983" t="str">
        <f>CONCATENATE("Total structure materials",IF(D40="Volume (m3)"," (m3)",IF(D40="Mass (kg)"," (kg)","")))</f>
        <v>Total structure materials</v>
      </c>
      <c r="C61" s="1984"/>
      <c r="D61" s="1339">
        <f>SUM(C44:C58)</f>
        <v>0</v>
      </c>
      <c r="E61" s="4"/>
      <c r="F61" s="4"/>
      <c r="G61" s="4"/>
      <c r="H61" s="4"/>
      <c r="I61" s="4"/>
      <c r="J61" s="4"/>
      <c r="K61" s="4"/>
    </row>
    <row r="62" spans="1:11" ht="19.5" customHeight="1" x14ac:dyDescent="0.25">
      <c r="A62" s="4"/>
      <c r="B62" s="1983" t="s">
        <v>924</v>
      </c>
      <c r="C62" s="1984"/>
      <c r="D62" s="1340">
        <f ca="1">IFERROR((D60/D61),0)</f>
        <v>0</v>
      </c>
      <c r="E62" s="4"/>
      <c r="F62" s="4"/>
      <c r="G62" s="4"/>
      <c r="H62" s="4"/>
      <c r="I62" s="4"/>
      <c r="J62" s="4"/>
      <c r="K62" s="4"/>
    </row>
    <row r="63" spans="1:11" ht="18" customHeight="1" x14ac:dyDescent="0.25">
      <c r="A63" s="4"/>
      <c r="B63" s="4"/>
      <c r="C63" s="4"/>
      <c r="D63" s="4"/>
      <c r="E63" s="4"/>
      <c r="F63" s="4"/>
      <c r="G63" s="4"/>
      <c r="H63" s="4"/>
      <c r="I63" s="4"/>
      <c r="J63" s="4"/>
      <c r="K63" s="4"/>
    </row>
    <row r="64" spans="1:11" ht="18" customHeight="1" x14ac:dyDescent="0.25">
      <c r="A64" s="1979" t="s">
        <v>186</v>
      </c>
      <c r="B64" s="1979"/>
      <c r="C64" s="1979"/>
      <c r="D64" s="1979"/>
      <c r="E64" s="1979"/>
      <c r="F64" s="1979"/>
      <c r="G64" s="1979"/>
      <c r="H64" s="1979"/>
      <c r="I64" s="1979"/>
      <c r="J64" s="1979"/>
      <c r="K64" s="1979"/>
    </row>
    <row r="65" spans="1:11" x14ac:dyDescent="0.25">
      <c r="A65" s="4"/>
      <c r="B65" s="4"/>
      <c r="C65" s="4"/>
      <c r="D65" s="4"/>
      <c r="E65" s="4"/>
      <c r="F65" s="4"/>
      <c r="G65" s="4"/>
      <c r="H65" s="4"/>
      <c r="I65" s="4"/>
      <c r="J65" s="4"/>
      <c r="K65" s="4"/>
    </row>
    <row r="66" spans="1:11" ht="18" customHeight="1" x14ac:dyDescent="0.25">
      <c r="A66" s="4"/>
      <c r="B66" s="1985" t="s">
        <v>1739</v>
      </c>
      <c r="C66" s="1986"/>
      <c r="D66" s="1986"/>
      <c r="E66" s="1986"/>
      <c r="F66" s="1986"/>
      <c r="G66" s="1168" t="s">
        <v>1737</v>
      </c>
      <c r="H66" s="1987" t="s">
        <v>1738</v>
      </c>
      <c r="I66" s="1988"/>
      <c r="J66" s="4"/>
      <c r="K66" s="4"/>
    </row>
    <row r="67" spans="1:11" ht="24" customHeight="1" x14ac:dyDescent="0.25">
      <c r="A67" s="4"/>
      <c r="B67" s="1576" t="s">
        <v>1523</v>
      </c>
      <c r="C67" s="1577"/>
      <c r="D67" s="1577"/>
      <c r="E67" s="1577"/>
      <c r="F67" s="1578"/>
      <c r="G67" s="1164" t="s">
        <v>124</v>
      </c>
      <c r="H67" s="1587"/>
      <c r="I67" s="1588"/>
      <c r="J67" s="4"/>
      <c r="K67" s="4"/>
    </row>
    <row r="68" spans="1:11" ht="24" customHeight="1" x14ac:dyDescent="0.25">
      <c r="A68" s="4"/>
      <c r="B68" s="1576" t="s">
        <v>1524</v>
      </c>
      <c r="C68" s="1577"/>
      <c r="D68" s="1577"/>
      <c r="E68" s="1577"/>
      <c r="F68" s="1578"/>
      <c r="G68" s="1164" t="s">
        <v>124</v>
      </c>
      <c r="H68" s="1587"/>
      <c r="I68" s="1588"/>
      <c r="J68" s="4"/>
      <c r="K68" s="4"/>
    </row>
    <row r="69" spans="1:11" ht="18" customHeight="1" x14ac:dyDescent="0.25">
      <c r="A69" s="4"/>
      <c r="B69" s="4"/>
      <c r="C69" s="4"/>
      <c r="D69" s="4"/>
      <c r="E69" s="4"/>
      <c r="F69" s="4"/>
      <c r="G69" s="4"/>
      <c r="H69" s="4"/>
      <c r="I69" s="4"/>
      <c r="J69" s="4"/>
      <c r="K69" s="4"/>
    </row>
    <row r="70" spans="1:11" ht="17.25" customHeight="1" x14ac:dyDescent="0.25">
      <c r="A70" s="1979" t="s">
        <v>22</v>
      </c>
      <c r="B70" s="1979"/>
      <c r="C70" s="1979"/>
      <c r="D70" s="1979"/>
      <c r="E70" s="1979"/>
      <c r="F70" s="1979"/>
      <c r="G70" s="1979"/>
      <c r="H70" s="1979"/>
      <c r="I70" s="1979"/>
      <c r="J70" s="1979"/>
      <c r="K70" s="1979"/>
    </row>
    <row r="71" spans="1:11" x14ac:dyDescent="0.25">
      <c r="A71" s="4"/>
      <c r="B71" s="4"/>
      <c r="C71" s="4"/>
      <c r="D71" s="4"/>
      <c r="E71" s="4"/>
      <c r="F71" s="4"/>
      <c r="G71" s="4"/>
      <c r="H71" s="4"/>
      <c r="I71" s="4"/>
      <c r="J71" s="4"/>
      <c r="K71" s="4"/>
    </row>
    <row r="72" spans="1:11" ht="18" customHeight="1" x14ac:dyDescent="0.25">
      <c r="A72" s="4"/>
      <c r="B72" s="286" t="s">
        <v>53</v>
      </c>
      <c r="C72" s="1335">
        <f ca="1">IF(D62&gt;=0.8,3,IF(D62&gt;=0.6,2,IF(D62&gt;=0.4,1,0)))</f>
        <v>0</v>
      </c>
      <c r="D72" s="4"/>
      <c r="E72" s="4"/>
      <c r="F72" s="4"/>
      <c r="G72" s="4"/>
      <c r="H72" s="4"/>
      <c r="I72" s="4"/>
      <c r="J72" s="4"/>
      <c r="K72" s="4"/>
    </row>
    <row r="73" spans="1:11" ht="18" customHeight="1" x14ac:dyDescent="0.25">
      <c r="A73" s="4"/>
      <c r="B73" s="287" t="s">
        <v>492</v>
      </c>
      <c r="C73" s="1335" t="str">
        <f ca="1">IF(AND(COUNTIF(G67:G68,"Submitted")=2,C72&gt;0),"Yes","No")</f>
        <v>No</v>
      </c>
      <c r="D73" s="4"/>
      <c r="E73" s="4"/>
      <c r="F73" s="4"/>
      <c r="G73" s="4"/>
      <c r="H73" s="4"/>
      <c r="I73" s="4"/>
      <c r="J73" s="4"/>
      <c r="K73" s="4"/>
    </row>
    <row r="74" spans="1:11" ht="18" customHeight="1" x14ac:dyDescent="0.25">
      <c r="A74" s="11"/>
      <c r="B74" s="11"/>
      <c r="C74" s="11"/>
      <c r="D74" s="11"/>
      <c r="E74" s="11"/>
      <c r="F74" s="11"/>
      <c r="G74" s="11"/>
      <c r="H74" s="11"/>
      <c r="I74" s="11"/>
      <c r="J74" s="11"/>
      <c r="K74" s="11"/>
    </row>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sheetData>
  <sheetProtection algorithmName="SHA-512" hashValue="C+wyCeUjPCK9ki8nQldjs0lwkxEoypz04XDNnTZiaBujEHqC1tUQlYIulWbweCGLMQpmyyPX1avVEFgl5dvSOw==" saltValue="5yIWv6nqoZRmRGWe4VZjEQ==" spinCount="100000" sheet="1" objects="1" scenarios="1"/>
  <mergeCells count="59">
    <mergeCell ref="A1:K1"/>
    <mergeCell ref="D56:E56"/>
    <mergeCell ref="D57:E57"/>
    <mergeCell ref="D53:E53"/>
    <mergeCell ref="D54:E54"/>
    <mergeCell ref="D55:E55"/>
    <mergeCell ref="D50:E50"/>
    <mergeCell ref="F50:G50"/>
    <mergeCell ref="D51:E51"/>
    <mergeCell ref="F51:G51"/>
    <mergeCell ref="D47:E47"/>
    <mergeCell ref="F47:G47"/>
    <mergeCell ref="D48:E48"/>
    <mergeCell ref="F48:G48"/>
    <mergeCell ref="D49:E49"/>
    <mergeCell ref="F49:G49"/>
    <mergeCell ref="A70:K70"/>
    <mergeCell ref="B68:F68"/>
    <mergeCell ref="B40:C40"/>
    <mergeCell ref="D44:E44"/>
    <mergeCell ref="F44:G44"/>
    <mergeCell ref="D46:E46"/>
    <mergeCell ref="F46:G46"/>
    <mergeCell ref="D52:E52"/>
    <mergeCell ref="F52:G52"/>
    <mergeCell ref="D45:E45"/>
    <mergeCell ref="F45:G45"/>
    <mergeCell ref="F53:G53"/>
    <mergeCell ref="F54:G54"/>
    <mergeCell ref="F55:G55"/>
    <mergeCell ref="F56:G56"/>
    <mergeCell ref="F57:G57"/>
    <mergeCell ref="H2:I4"/>
    <mergeCell ref="A5:K7"/>
    <mergeCell ref="B11:E11"/>
    <mergeCell ref="B12:E12"/>
    <mergeCell ref="D43:E43"/>
    <mergeCell ref="F43:G43"/>
    <mergeCell ref="A34:K34"/>
    <mergeCell ref="A9:K9"/>
    <mergeCell ref="A14:K14"/>
    <mergeCell ref="B27:H27"/>
    <mergeCell ref="B28:H28"/>
    <mergeCell ref="B29:H29"/>
    <mergeCell ref="B30:H30"/>
    <mergeCell ref="B31:H31"/>
    <mergeCell ref="B32:H32"/>
    <mergeCell ref="B26:H26"/>
    <mergeCell ref="H68:I68"/>
    <mergeCell ref="B67:F67"/>
    <mergeCell ref="A64:K64"/>
    <mergeCell ref="D58:E58"/>
    <mergeCell ref="F58:G58"/>
    <mergeCell ref="B60:C60"/>
    <mergeCell ref="B61:C61"/>
    <mergeCell ref="B62:C62"/>
    <mergeCell ref="B66:F66"/>
    <mergeCell ref="H66:I66"/>
    <mergeCell ref="H67:I67"/>
  </mergeCells>
  <conditionalFormatting sqref="F12 B12">
    <cfRule type="expression" dxfId="214" priority="520">
      <formula>OR(#REF!="No",#REF!="Không")</formula>
    </cfRule>
  </conditionalFormatting>
  <conditionalFormatting sqref="B12 F12">
    <cfRule type="expression" dxfId="213" priority="522">
      <formula>OR($D12="No",$D12="Không")</formula>
    </cfRule>
    <cfRule type="expression" dxfId="212" priority="523">
      <formula>OR(#REF!="No",#REF!="Không")</formula>
    </cfRule>
  </conditionalFormatting>
  <conditionalFormatting sqref="G67">
    <cfRule type="expression" dxfId="211" priority="5">
      <formula>#REF!&lt;&gt;"Prescriptive Path"</formula>
    </cfRule>
  </conditionalFormatting>
  <conditionalFormatting sqref="G68">
    <cfRule type="expression" dxfId="210" priority="4">
      <formula>#REF!&lt;&gt;"Prescriptive Path"</formula>
    </cfRule>
  </conditionalFormatting>
  <conditionalFormatting sqref="H66:I66">
    <cfRule type="expression" dxfId="209" priority="3">
      <formula>#REF!&lt;&gt;"Prescriptive Path"</formula>
    </cfRule>
  </conditionalFormatting>
  <conditionalFormatting sqref="I67">
    <cfRule type="expression" dxfId="208" priority="2">
      <formula>#REF!&lt;&gt;"Prescriptive Path"</formula>
    </cfRule>
  </conditionalFormatting>
  <conditionalFormatting sqref="I68">
    <cfRule type="expression" dxfId="207" priority="1">
      <formula>#REF!&lt;&gt;"Prescriptive Path"</formula>
    </cfRule>
  </conditionalFormatting>
  <dataValidations disablePrompts="1" count="6">
    <dataValidation type="list" allowBlank="1" showInputMessage="1" showErrorMessage="1" sqref="D40" xr:uid="{00000000-0002-0000-1A00-000000000000}">
      <formula1>"Select,Volume (m3),Mass (kg)"</formula1>
    </dataValidation>
    <dataValidation allowBlank="1" showInputMessage="1" showErrorMessage="1" prompt="Provide more details on the flooring material used" sqref="F43:G43" xr:uid="{00000000-0002-0000-1A00-000001000000}"/>
    <dataValidation type="list" allowBlank="1" showInputMessage="1" showErrorMessage="1" sqref="G67:G68" xr:uid="{00000000-0002-0000-1A00-000002000000}">
      <formula1>"Select,Submitted,Not submitted"</formula1>
    </dataValidation>
    <dataValidation allowBlank="1" showInputMessage="1" showErrorMessage="1" prompt="Enter the name of the building structure material" sqref="B44:B58" xr:uid="{00000000-0002-0000-1A00-000003000000}"/>
    <dataValidation allowBlank="1" showInputMessage="1" showErrorMessage="1" prompt="Provide more details on the sustainable feature of the building structure material" sqref="F44:G58" xr:uid="{00000000-0002-0000-1A00-000004000000}"/>
    <dataValidation type="list" allowBlank="1" showInputMessage="1" showErrorMessage="1" sqref="D44:E58" xr:uid="{00000000-0002-0000-1A00-000005000000}">
      <formula1>$L$44:$S$44</formula1>
    </dataValidation>
  </dataValidations>
  <hyperlinks>
    <hyperlink ref="K2" location="'M-5 Roofing materials'!D3" tooltip="M-5" display="M-5" xr:uid="{00000000-0004-0000-1A00-000000000000}"/>
    <hyperlink ref="K3" location="'M-6 Furniture'!D3" tooltip="M-6" display="M-6" xr:uid="{00000000-0004-0000-1A00-000001000000}"/>
    <hyperlink ref="J4" location="'M-4 Flooring materials'!D3" tooltip="M-4" display="M-4" xr:uid="{00000000-0004-0000-1A00-000002000000}"/>
    <hyperlink ref="J3" location="'M-3 Windows and doors'!D3" tooltip="M-3" display="M-3" xr:uid="{00000000-0004-0000-1A00-000003000000}"/>
    <hyperlink ref="J2" location="'M-2 Non-structural walls'!D3" tooltip="M-2" display="M-2" xr:uid="{00000000-0004-0000-1A00-000004000000}"/>
  </hyperlinks>
  <pageMargins left="0.7" right="0.7" top="0.75" bottom="0.75" header="0.3" footer="0.3"/>
  <pageSetup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4">
    <tabColor rgb="FF5F4970"/>
  </sheetPr>
  <dimension ref="A1:S210"/>
  <sheetViews>
    <sheetView showRowColHeaders="0" workbookViewId="0">
      <pane ySplit="7" topLeftCell="A9" activePane="bottomLeft" state="frozen"/>
      <selection pane="bottomLeft" activeCell="A9" sqref="A9:K9"/>
    </sheetView>
  </sheetViews>
  <sheetFormatPr defaultColWidth="0" defaultRowHeight="15" customHeight="1" zeroHeight="1" x14ac:dyDescent="0.25"/>
  <cols>
    <col min="1" max="1" width="3.7109375" customWidth="1"/>
    <col min="2" max="2" width="23.140625" customWidth="1"/>
    <col min="3" max="3" width="21.5703125" customWidth="1"/>
    <col min="4" max="4" width="20.28515625" customWidth="1"/>
    <col min="5" max="5" width="15.140625" customWidth="1"/>
    <col min="6" max="6" width="20.7109375" customWidth="1"/>
    <col min="7" max="8" width="17.7109375" customWidth="1"/>
    <col min="9" max="9" width="10.85546875" customWidth="1"/>
    <col min="10" max="11" width="8.7109375" customWidth="1"/>
    <col min="12" max="16384" width="9.140625" hidden="1"/>
  </cols>
  <sheetData>
    <row r="1" spans="1:13" ht="24" customHeight="1" x14ac:dyDescent="0.25">
      <c r="A1" s="1996" t="s">
        <v>1603</v>
      </c>
      <c r="B1" s="1996"/>
      <c r="C1" s="1996"/>
      <c r="D1" s="1996"/>
      <c r="E1" s="1996"/>
      <c r="F1" s="1996"/>
      <c r="G1" s="1996"/>
      <c r="H1" s="1996"/>
      <c r="I1" s="1996"/>
      <c r="J1" s="1996"/>
      <c r="K1" s="1996"/>
    </row>
    <row r="2" spans="1:13" ht="15" customHeight="1" x14ac:dyDescent="0.25">
      <c r="A2" s="4"/>
      <c r="B2" s="4"/>
      <c r="C2" s="4"/>
      <c r="D2" s="4"/>
      <c r="E2" s="4"/>
      <c r="F2" s="4"/>
      <c r="G2" s="5"/>
      <c r="H2" s="1585" t="s">
        <v>1743</v>
      </c>
      <c r="I2" s="1585"/>
      <c r="J2" s="744" t="s">
        <v>56</v>
      </c>
      <c r="K2" s="744" t="s">
        <v>72</v>
      </c>
    </row>
    <row r="3" spans="1:13" x14ac:dyDescent="0.25">
      <c r="A3" s="4"/>
      <c r="B3" s="4"/>
      <c r="C3" s="4"/>
      <c r="D3" s="4"/>
      <c r="E3" s="4"/>
      <c r="F3" s="4"/>
      <c r="G3" s="5"/>
      <c r="H3" s="1585"/>
      <c r="I3" s="1585"/>
      <c r="J3" s="744" t="s">
        <v>64</v>
      </c>
      <c r="K3" s="744" t="s">
        <v>591</v>
      </c>
    </row>
    <row r="4" spans="1:13" ht="15" customHeight="1" x14ac:dyDescent="0.25">
      <c r="A4" s="4"/>
      <c r="B4" s="4"/>
      <c r="C4" s="4"/>
      <c r="D4" s="4"/>
      <c r="E4" s="4"/>
      <c r="F4" s="4"/>
      <c r="G4" s="5"/>
      <c r="H4" s="1586"/>
      <c r="I4" s="1586"/>
      <c r="J4" s="744" t="s">
        <v>68</v>
      </c>
      <c r="K4" s="744"/>
    </row>
    <row r="5" spans="1:13" s="38" customFormat="1" ht="16.5" customHeight="1" x14ac:dyDescent="0.25">
      <c r="A5" s="1600" t="s">
        <v>2599</v>
      </c>
      <c r="B5" s="1601"/>
      <c r="C5" s="1601"/>
      <c r="D5" s="1601"/>
      <c r="E5" s="1601"/>
      <c r="F5" s="1601"/>
      <c r="G5" s="1601"/>
      <c r="H5" s="1601"/>
      <c r="I5" s="1601"/>
      <c r="J5" s="1601"/>
      <c r="K5" s="1602"/>
      <c r="L5"/>
      <c r="M5"/>
    </row>
    <row r="6" spans="1:13" s="38" customFormat="1" ht="16.5" customHeight="1" x14ac:dyDescent="0.25">
      <c r="A6" s="1603"/>
      <c r="B6" s="1604"/>
      <c r="C6" s="1604"/>
      <c r="D6" s="1604"/>
      <c r="E6" s="1604"/>
      <c r="F6" s="1604"/>
      <c r="G6" s="1604"/>
      <c r="H6" s="1604"/>
      <c r="I6" s="1604"/>
      <c r="J6" s="1604"/>
      <c r="K6" s="1605"/>
      <c r="L6"/>
      <c r="M6"/>
    </row>
    <row r="7" spans="1:13" s="38" customFormat="1" ht="16.5" customHeight="1" x14ac:dyDescent="0.25">
      <c r="A7" s="1606"/>
      <c r="B7" s="1607"/>
      <c r="C7" s="1607"/>
      <c r="D7" s="1607"/>
      <c r="E7" s="1607"/>
      <c r="F7" s="1607"/>
      <c r="G7" s="1607"/>
      <c r="H7" s="1607"/>
      <c r="I7" s="1607"/>
      <c r="J7" s="1607"/>
      <c r="K7" s="1608"/>
      <c r="L7"/>
      <c r="M7"/>
    </row>
    <row r="8" spans="1:13" s="38" customFormat="1" ht="10.5" customHeight="1" x14ac:dyDescent="0.25">
      <c r="A8" s="49"/>
      <c r="B8" s="50"/>
      <c r="C8" s="50"/>
      <c r="D8" s="50"/>
      <c r="E8" s="50"/>
      <c r="F8" s="49"/>
      <c r="G8" s="49"/>
      <c r="H8" s="49"/>
      <c r="I8" s="49"/>
      <c r="J8" s="49"/>
      <c r="K8" s="49"/>
      <c r="L8"/>
      <c r="M8"/>
    </row>
    <row r="9" spans="1:13" ht="18" customHeight="1" x14ac:dyDescent="0.25">
      <c r="A9" s="1979" t="s">
        <v>177</v>
      </c>
      <c r="B9" s="1979"/>
      <c r="C9" s="1979"/>
      <c r="D9" s="1979"/>
      <c r="E9" s="1979"/>
      <c r="F9" s="1979"/>
      <c r="G9" s="1979"/>
      <c r="H9" s="1979"/>
      <c r="I9" s="1979"/>
      <c r="J9" s="1979"/>
      <c r="K9" s="1979"/>
    </row>
    <row r="10" spans="1:13" ht="16.5" customHeight="1" x14ac:dyDescent="0.25">
      <c r="A10" s="5"/>
      <c r="B10" s="4"/>
      <c r="C10" s="4"/>
      <c r="D10" s="4"/>
      <c r="E10" s="4"/>
      <c r="F10" s="5"/>
      <c r="G10" s="5"/>
      <c r="H10" s="5"/>
      <c r="I10" s="5"/>
      <c r="J10" s="5"/>
      <c r="K10" s="5"/>
    </row>
    <row r="11" spans="1:13" ht="19.5" customHeight="1" x14ac:dyDescent="0.25">
      <c r="A11" s="5"/>
      <c r="B11" s="1989" t="s">
        <v>178</v>
      </c>
      <c r="C11" s="1990"/>
      <c r="D11" s="1990"/>
      <c r="E11" s="1990"/>
      <c r="F11" s="437" t="s">
        <v>152</v>
      </c>
      <c r="G11" s="437" t="s">
        <v>53</v>
      </c>
      <c r="H11" s="288" t="s">
        <v>492</v>
      </c>
      <c r="I11" s="5"/>
      <c r="J11" s="5"/>
      <c r="K11" s="5"/>
    </row>
    <row r="12" spans="1:13" ht="42" customHeight="1" x14ac:dyDescent="0.25">
      <c r="A12" s="5"/>
      <c r="B12" s="1676" t="s">
        <v>888</v>
      </c>
      <c r="C12" s="1677"/>
      <c r="D12" s="1677"/>
      <c r="E12" s="1678"/>
      <c r="F12" s="36">
        <v>3</v>
      </c>
      <c r="G12" s="272">
        <f ca="1">C76</f>
        <v>0</v>
      </c>
      <c r="H12" s="272" t="str">
        <f ca="1">C77</f>
        <v>No</v>
      </c>
      <c r="I12" s="5"/>
      <c r="J12" s="5"/>
      <c r="K12" s="5"/>
    </row>
    <row r="13" spans="1:13" ht="16.5" customHeight="1" x14ac:dyDescent="0.25">
      <c r="A13" s="5"/>
      <c r="B13" s="4"/>
      <c r="C13" s="4"/>
      <c r="D13" s="4"/>
      <c r="E13" s="4"/>
      <c r="F13" s="5"/>
      <c r="G13" s="5"/>
      <c r="H13" s="5"/>
      <c r="I13" s="5"/>
      <c r="J13" s="5"/>
      <c r="K13" s="5"/>
    </row>
    <row r="14" spans="1:13" ht="18" customHeight="1" x14ac:dyDescent="0.25">
      <c r="A14" s="1979" t="s">
        <v>245</v>
      </c>
      <c r="B14" s="1979"/>
      <c r="C14" s="1979"/>
      <c r="D14" s="1979"/>
      <c r="E14" s="1979"/>
      <c r="F14" s="1979"/>
      <c r="G14" s="1979"/>
      <c r="H14" s="1979"/>
      <c r="I14" s="1979"/>
      <c r="J14" s="1979"/>
      <c r="K14" s="1979"/>
    </row>
    <row r="15" spans="1:13" x14ac:dyDescent="0.25">
      <c r="A15" s="4"/>
      <c r="B15" s="4"/>
      <c r="C15" s="4"/>
      <c r="D15" s="4"/>
      <c r="E15" s="4"/>
      <c r="F15" s="4"/>
      <c r="G15" s="4"/>
      <c r="H15" s="4"/>
      <c r="I15" s="4"/>
      <c r="J15" s="4"/>
      <c r="K15" s="4"/>
    </row>
    <row r="16" spans="1:13" x14ac:dyDescent="0.25">
      <c r="A16" s="4"/>
      <c r="B16" s="593" t="s">
        <v>1329</v>
      </c>
      <c r="C16" s="4"/>
      <c r="D16" s="4"/>
      <c r="E16" s="4"/>
      <c r="F16" s="4"/>
      <c r="G16" s="4"/>
      <c r="H16" s="4"/>
      <c r="I16" s="4"/>
      <c r="J16" s="4"/>
      <c r="K16" s="4"/>
    </row>
    <row r="17" spans="1:11" ht="16.5" customHeight="1" x14ac:dyDescent="0.25">
      <c r="A17" s="4"/>
      <c r="B17" s="4"/>
      <c r="C17" s="4"/>
      <c r="D17" s="4"/>
      <c r="E17" s="4"/>
      <c r="F17" s="4"/>
      <c r="G17" s="4"/>
      <c r="H17" s="4"/>
      <c r="I17" s="4"/>
      <c r="J17" s="4"/>
      <c r="K17" s="4"/>
    </row>
    <row r="18" spans="1:11" x14ac:dyDescent="0.25">
      <c r="A18" s="4"/>
      <c r="B18" s="592" t="s">
        <v>766</v>
      </c>
      <c r="C18" s="4"/>
      <c r="D18" s="4"/>
      <c r="E18" s="4"/>
      <c r="F18" s="4"/>
      <c r="G18" s="4"/>
      <c r="H18" s="4"/>
      <c r="I18" s="4"/>
      <c r="J18" s="4"/>
      <c r="K18" s="4"/>
    </row>
    <row r="19" spans="1:11" x14ac:dyDescent="0.25">
      <c r="A19" s="4"/>
      <c r="B19" s="603" t="s">
        <v>773</v>
      </c>
      <c r="C19" s="4"/>
      <c r="D19" s="4"/>
      <c r="E19" s="4"/>
      <c r="F19" s="4"/>
      <c r="G19" s="4"/>
      <c r="H19" s="4"/>
      <c r="I19" s="4"/>
      <c r="J19" s="4"/>
      <c r="K19" s="4"/>
    </row>
    <row r="20" spans="1:11" x14ac:dyDescent="0.25">
      <c r="A20" s="4"/>
      <c r="B20" s="603" t="s">
        <v>765</v>
      </c>
      <c r="C20" s="4"/>
      <c r="D20" s="4"/>
      <c r="E20" s="4"/>
      <c r="F20" s="4"/>
      <c r="G20" s="4"/>
      <c r="H20" s="4"/>
      <c r="I20" s="4"/>
      <c r="J20" s="4"/>
      <c r="K20" s="4"/>
    </row>
    <row r="21" spans="1:11" x14ac:dyDescent="0.25">
      <c r="A21" s="4"/>
      <c r="B21" s="603" t="s">
        <v>770</v>
      </c>
      <c r="C21" s="4"/>
      <c r="D21" s="4"/>
      <c r="E21" s="4"/>
      <c r="F21" s="4"/>
      <c r="G21" s="4"/>
      <c r="H21" s="4"/>
      <c r="I21" s="4"/>
      <c r="J21" s="4"/>
      <c r="K21" s="4"/>
    </row>
    <row r="22" spans="1:11" x14ac:dyDescent="0.25">
      <c r="A22" s="4"/>
      <c r="B22" s="603" t="s">
        <v>971</v>
      </c>
      <c r="C22" s="4"/>
      <c r="D22" s="4"/>
      <c r="E22" s="4"/>
      <c r="F22" s="4"/>
      <c r="G22" s="4"/>
      <c r="H22" s="4"/>
      <c r="I22" s="4"/>
      <c r="J22" s="4"/>
      <c r="K22" s="4"/>
    </row>
    <row r="23" spans="1:11" x14ac:dyDescent="0.25">
      <c r="A23" s="4"/>
      <c r="B23" s="603"/>
      <c r="C23" s="4"/>
      <c r="D23" s="4"/>
      <c r="E23" s="4"/>
      <c r="F23" s="4"/>
      <c r="G23" s="4"/>
      <c r="H23" s="4"/>
      <c r="I23" s="4"/>
      <c r="J23" s="4"/>
      <c r="K23" s="4"/>
    </row>
    <row r="24" spans="1:11" x14ac:dyDescent="0.25">
      <c r="A24" s="4"/>
      <c r="B24" s="592" t="s">
        <v>768</v>
      </c>
      <c r="C24" s="4"/>
      <c r="D24" s="4"/>
      <c r="E24" s="4"/>
      <c r="F24" s="4"/>
      <c r="G24" s="4"/>
      <c r="H24" s="4"/>
      <c r="I24" s="4"/>
      <c r="J24" s="4"/>
      <c r="K24" s="4"/>
    </row>
    <row r="25" spans="1:11" x14ac:dyDescent="0.25">
      <c r="A25" s="4"/>
      <c r="B25" s="603" t="s">
        <v>769</v>
      </c>
      <c r="C25" s="4"/>
      <c r="D25" s="4"/>
      <c r="E25" s="4"/>
      <c r="F25" s="4"/>
      <c r="G25" s="4"/>
      <c r="H25" s="4"/>
      <c r="I25" s="4"/>
      <c r="J25" s="4"/>
      <c r="K25" s="4"/>
    </row>
    <row r="26" spans="1:11" x14ac:dyDescent="0.25">
      <c r="A26" s="4"/>
      <c r="B26" s="603" t="s">
        <v>771</v>
      </c>
      <c r="C26" s="4"/>
      <c r="D26" s="4"/>
      <c r="E26" s="4"/>
      <c r="F26" s="4"/>
      <c r="G26" s="4"/>
      <c r="H26" s="4"/>
      <c r="I26" s="4"/>
      <c r="J26" s="4"/>
      <c r="K26" s="4"/>
    </row>
    <row r="27" spans="1:11" x14ac:dyDescent="0.25">
      <c r="A27" s="4"/>
      <c r="B27" s="4"/>
      <c r="C27" s="4"/>
      <c r="D27" s="4"/>
      <c r="E27" s="4"/>
      <c r="F27" s="4"/>
      <c r="G27" s="4"/>
      <c r="H27" s="4"/>
      <c r="I27" s="4"/>
      <c r="J27" s="4"/>
      <c r="K27" s="4"/>
    </row>
    <row r="28" spans="1:11" x14ac:dyDescent="0.25">
      <c r="A28" s="4"/>
      <c r="B28" s="600" t="s">
        <v>767</v>
      </c>
      <c r="C28" s="594"/>
      <c r="D28" s="594"/>
      <c r="E28" s="594"/>
      <c r="F28" s="594"/>
      <c r="G28" s="594"/>
      <c r="H28" s="595"/>
      <c r="I28" s="4"/>
      <c r="J28" s="4"/>
      <c r="K28" s="4"/>
    </row>
    <row r="29" spans="1:11" x14ac:dyDescent="0.25">
      <c r="A29" s="4"/>
      <c r="B29" s="1620" t="s">
        <v>972</v>
      </c>
      <c r="C29" s="1621"/>
      <c r="D29" s="1621"/>
      <c r="E29" s="1621"/>
      <c r="F29" s="1621"/>
      <c r="G29" s="1621"/>
      <c r="H29" s="1622"/>
      <c r="I29" s="4"/>
      <c r="J29" s="4"/>
      <c r="K29" s="4"/>
    </row>
    <row r="30" spans="1:11" x14ac:dyDescent="0.25">
      <c r="A30" s="4"/>
      <c r="B30" s="1620" t="s">
        <v>959</v>
      </c>
      <c r="C30" s="1621"/>
      <c r="D30" s="1621"/>
      <c r="E30" s="1621"/>
      <c r="F30" s="1621"/>
      <c r="G30" s="1621"/>
      <c r="H30" s="1622"/>
      <c r="I30" s="4"/>
      <c r="J30" s="4"/>
      <c r="K30" s="4"/>
    </row>
    <row r="31" spans="1:11" x14ac:dyDescent="0.25">
      <c r="A31" s="4"/>
      <c r="B31" s="1620" t="s">
        <v>750</v>
      </c>
      <c r="C31" s="1621"/>
      <c r="D31" s="1621"/>
      <c r="E31" s="1621"/>
      <c r="F31" s="1621"/>
      <c r="G31" s="1621"/>
      <c r="H31" s="1622"/>
      <c r="I31" s="4"/>
      <c r="J31" s="4"/>
      <c r="K31" s="4"/>
    </row>
    <row r="32" spans="1:11" x14ac:dyDescent="0.25">
      <c r="A32" s="4"/>
      <c r="B32" s="1620" t="s">
        <v>751</v>
      </c>
      <c r="C32" s="1621"/>
      <c r="D32" s="1621"/>
      <c r="E32" s="1621"/>
      <c r="F32" s="1621"/>
      <c r="G32" s="1621"/>
      <c r="H32" s="1622"/>
      <c r="I32" s="4"/>
      <c r="J32" s="4"/>
      <c r="K32" s="4"/>
    </row>
    <row r="33" spans="1:19" x14ac:dyDescent="0.25">
      <c r="A33" s="4"/>
      <c r="B33" s="1620" t="s">
        <v>960</v>
      </c>
      <c r="C33" s="1621"/>
      <c r="D33" s="1621"/>
      <c r="E33" s="1621"/>
      <c r="F33" s="1621"/>
      <c r="G33" s="1621"/>
      <c r="H33" s="1622"/>
      <c r="I33" s="4"/>
      <c r="J33" s="4"/>
      <c r="K33" s="4"/>
    </row>
    <row r="34" spans="1:19" x14ac:dyDescent="0.25">
      <c r="A34" s="4"/>
      <c r="B34" s="1620" t="s">
        <v>1555</v>
      </c>
      <c r="C34" s="1621"/>
      <c r="D34" s="1621"/>
      <c r="E34" s="1621"/>
      <c r="F34" s="1621"/>
      <c r="G34" s="1621"/>
      <c r="H34" s="1622"/>
      <c r="I34" s="4"/>
      <c r="J34" s="4"/>
      <c r="K34" s="4"/>
    </row>
    <row r="35" spans="1:19" x14ac:dyDescent="0.25">
      <c r="A35" s="4"/>
      <c r="B35" s="1647" t="s">
        <v>2432</v>
      </c>
      <c r="C35" s="1648"/>
      <c r="D35" s="1648"/>
      <c r="E35" s="1648"/>
      <c r="F35" s="1648"/>
      <c r="G35" s="1648"/>
      <c r="H35" s="1649"/>
      <c r="I35" s="4"/>
      <c r="J35" s="4"/>
      <c r="K35" s="4"/>
    </row>
    <row r="36" spans="1:19" ht="19.5" customHeight="1" x14ac:dyDescent="0.25">
      <c r="A36" s="4"/>
      <c r="B36" s="4"/>
      <c r="C36" s="4"/>
      <c r="D36" s="4"/>
      <c r="E36" s="4"/>
      <c r="F36" s="4"/>
      <c r="G36" s="4"/>
      <c r="H36" s="4"/>
      <c r="I36" s="4"/>
      <c r="J36" s="4"/>
      <c r="K36" s="4"/>
    </row>
    <row r="37" spans="1:19" ht="18" customHeight="1" x14ac:dyDescent="0.25">
      <c r="A37" s="1979" t="s">
        <v>23</v>
      </c>
      <c r="B37" s="1979"/>
      <c r="C37" s="1979"/>
      <c r="D37" s="1979"/>
      <c r="E37" s="1979"/>
      <c r="F37" s="1979"/>
      <c r="G37" s="1979"/>
      <c r="H37" s="1979"/>
      <c r="I37" s="1979"/>
      <c r="J37" s="1979"/>
      <c r="K37" s="1979"/>
    </row>
    <row r="38" spans="1:19" x14ac:dyDescent="0.25">
      <c r="A38" s="4"/>
      <c r="B38" s="4"/>
      <c r="C38" s="4"/>
      <c r="D38" s="4"/>
      <c r="E38" s="4"/>
      <c r="F38" s="4"/>
      <c r="G38" s="4"/>
      <c r="H38" s="4"/>
      <c r="I38" s="4"/>
      <c r="J38" s="4"/>
      <c r="K38" s="4"/>
    </row>
    <row r="39" spans="1:19" x14ac:dyDescent="0.25">
      <c r="A39" s="4"/>
      <c r="B39" s="747" t="s">
        <v>1331</v>
      </c>
      <c r="C39" s="4"/>
      <c r="D39" s="4"/>
      <c r="E39" s="4"/>
      <c r="F39" s="4"/>
      <c r="G39" s="4"/>
      <c r="H39" s="4"/>
      <c r="I39" s="4"/>
      <c r="J39" s="4"/>
      <c r="K39" s="4"/>
    </row>
    <row r="40" spans="1:19" x14ac:dyDescent="0.25">
      <c r="A40" s="4"/>
      <c r="B40" s="293"/>
      <c r="C40" s="4"/>
      <c r="D40" s="4"/>
      <c r="E40" s="4"/>
      <c r="F40" s="4"/>
      <c r="G40" s="4"/>
      <c r="H40" s="4"/>
      <c r="I40" s="4"/>
      <c r="J40" s="4"/>
      <c r="K40" s="4"/>
    </row>
    <row r="41" spans="1:19" x14ac:dyDescent="0.25">
      <c r="A41" s="4"/>
      <c r="B41" s="747" t="s">
        <v>953</v>
      </c>
      <c r="C41" s="4"/>
      <c r="D41" s="4"/>
      <c r="E41" s="4"/>
      <c r="F41" s="4"/>
      <c r="G41" s="4"/>
      <c r="H41" s="4"/>
      <c r="I41" s="4"/>
      <c r="J41" s="4"/>
      <c r="K41" s="4"/>
    </row>
    <row r="42" spans="1:19" x14ac:dyDescent="0.25">
      <c r="A42" s="4"/>
      <c r="B42" s="747" t="s">
        <v>973</v>
      </c>
      <c r="C42" s="4"/>
      <c r="D42" s="4"/>
      <c r="E42" s="4"/>
      <c r="F42" s="4"/>
      <c r="G42" s="4"/>
      <c r="H42" s="4"/>
      <c r="I42" s="4"/>
      <c r="J42" s="4"/>
      <c r="K42" s="4"/>
    </row>
    <row r="43" spans="1:19" x14ac:dyDescent="0.25">
      <c r="A43" s="4"/>
      <c r="B43" s="749" t="s">
        <v>1333</v>
      </c>
      <c r="C43" s="4"/>
      <c r="D43" s="4"/>
      <c r="E43" s="4"/>
      <c r="F43" s="4"/>
      <c r="G43" s="4"/>
      <c r="H43" s="4"/>
      <c r="I43" s="4"/>
      <c r="J43" s="4"/>
      <c r="K43" s="4"/>
    </row>
    <row r="44" spans="1:19" x14ac:dyDescent="0.25">
      <c r="A44" s="4"/>
      <c r="B44" s="749"/>
      <c r="C44" s="4"/>
      <c r="D44" s="4"/>
      <c r="E44" s="4"/>
      <c r="F44" s="4"/>
      <c r="G44" s="4"/>
      <c r="H44" s="4"/>
      <c r="I44" s="4"/>
      <c r="J44" s="4"/>
      <c r="K44" s="4"/>
    </row>
    <row r="45" spans="1:19" x14ac:dyDescent="0.25">
      <c r="A45" s="4"/>
      <c r="B45" s="642" t="s">
        <v>1332</v>
      </c>
      <c r="C45" s="4"/>
      <c r="D45" s="4"/>
      <c r="E45" s="4"/>
      <c r="F45" s="4"/>
      <c r="G45" s="4"/>
      <c r="H45" s="4"/>
      <c r="I45" s="4"/>
      <c r="J45" s="4"/>
      <c r="K45" s="4"/>
    </row>
    <row r="46" spans="1:19" ht="10.5" customHeight="1" x14ac:dyDescent="0.25">
      <c r="A46" s="4"/>
      <c r="B46" s="4"/>
      <c r="C46" s="4"/>
      <c r="D46" s="4"/>
      <c r="E46" s="4"/>
      <c r="F46" s="4"/>
      <c r="G46" s="4"/>
      <c r="H46" s="4"/>
      <c r="I46" s="4"/>
      <c r="J46" s="4"/>
      <c r="K46" s="4"/>
    </row>
    <row r="47" spans="1:19" ht="19.5" customHeight="1" x14ac:dyDescent="0.25">
      <c r="A47" s="4"/>
      <c r="B47" s="431" t="s">
        <v>952</v>
      </c>
      <c r="C47" s="432" t="s">
        <v>40</v>
      </c>
      <c r="D47" s="1987" t="s">
        <v>654</v>
      </c>
      <c r="E47" s="1987"/>
      <c r="F47" s="1987" t="s">
        <v>30</v>
      </c>
      <c r="G47" s="1988"/>
      <c r="H47" s="4"/>
      <c r="I47" s="4"/>
      <c r="J47" s="4"/>
      <c r="K47" s="4"/>
    </row>
    <row r="48" spans="1:19" ht="16.5" customHeight="1" x14ac:dyDescent="0.25">
      <c r="A48" s="4"/>
      <c r="B48" s="524"/>
      <c r="C48" s="518"/>
      <c r="D48" s="1980" t="s">
        <v>124</v>
      </c>
      <c r="E48" s="1981"/>
      <c r="F48" s="1982"/>
      <c r="G48" s="1982"/>
      <c r="H48" s="4"/>
      <c r="I48" s="4"/>
      <c r="J48" s="4"/>
      <c r="K48" s="4"/>
      <c r="L48" t="s">
        <v>124</v>
      </c>
      <c r="M48" t="s">
        <v>1337</v>
      </c>
      <c r="N48" t="s">
        <v>1336</v>
      </c>
      <c r="O48" t="s">
        <v>1338</v>
      </c>
      <c r="P48" t="s">
        <v>1339</v>
      </c>
      <c r="Q48" t="s">
        <v>1334</v>
      </c>
      <c r="R48" t="s">
        <v>2433</v>
      </c>
      <c r="S48" t="s">
        <v>9</v>
      </c>
    </row>
    <row r="49" spans="1:11" ht="16.5" customHeight="1" x14ac:dyDescent="0.25">
      <c r="A49" s="4"/>
      <c r="B49" s="524"/>
      <c r="C49" s="517"/>
      <c r="D49" s="1980" t="s">
        <v>124</v>
      </c>
      <c r="E49" s="1981"/>
      <c r="F49" s="1982"/>
      <c r="G49" s="1982"/>
      <c r="H49" s="4"/>
      <c r="I49" s="4"/>
      <c r="J49" s="4"/>
      <c r="K49" s="4"/>
    </row>
    <row r="50" spans="1:11" ht="16.5" customHeight="1" x14ac:dyDescent="0.25">
      <c r="A50" s="4"/>
      <c r="B50" s="768"/>
      <c r="C50" s="769"/>
      <c r="D50" s="1980" t="s">
        <v>124</v>
      </c>
      <c r="E50" s="1981"/>
      <c r="F50" s="1982"/>
      <c r="G50" s="1982"/>
      <c r="H50" s="4"/>
      <c r="I50" s="4"/>
      <c r="J50" s="4"/>
      <c r="K50" s="4"/>
    </row>
    <row r="51" spans="1:11" ht="16.5" customHeight="1" x14ac:dyDescent="0.25">
      <c r="A51" s="4"/>
      <c r="B51" s="768"/>
      <c r="C51" s="769"/>
      <c r="D51" s="1980" t="s">
        <v>124</v>
      </c>
      <c r="E51" s="1981"/>
      <c r="F51" s="1982"/>
      <c r="G51" s="1982"/>
      <c r="H51" s="4"/>
      <c r="I51" s="4"/>
      <c r="J51" s="4"/>
      <c r="K51" s="4"/>
    </row>
    <row r="52" spans="1:11" ht="16.5" customHeight="1" x14ac:dyDescent="0.25">
      <c r="A52" s="4"/>
      <c r="B52" s="768"/>
      <c r="C52" s="769"/>
      <c r="D52" s="1980" t="s">
        <v>124</v>
      </c>
      <c r="E52" s="1981"/>
      <c r="F52" s="1982"/>
      <c r="G52" s="1982"/>
      <c r="H52" s="4"/>
      <c r="I52" s="4"/>
      <c r="J52" s="4"/>
      <c r="K52" s="4"/>
    </row>
    <row r="53" spans="1:11" ht="16.5" customHeight="1" x14ac:dyDescent="0.25">
      <c r="A53" s="4"/>
      <c r="B53" s="768"/>
      <c r="C53" s="769"/>
      <c r="D53" s="1980" t="s">
        <v>124</v>
      </c>
      <c r="E53" s="1981"/>
      <c r="F53" s="1982"/>
      <c r="G53" s="1982"/>
      <c r="H53" s="4"/>
      <c r="I53" s="4"/>
      <c r="J53" s="4"/>
      <c r="K53" s="4"/>
    </row>
    <row r="54" spans="1:11" ht="16.5" customHeight="1" x14ac:dyDescent="0.25">
      <c r="A54" s="4"/>
      <c r="B54" s="768"/>
      <c r="C54" s="769"/>
      <c r="D54" s="1980" t="s">
        <v>124</v>
      </c>
      <c r="E54" s="1981"/>
      <c r="F54" s="1982"/>
      <c r="G54" s="1982"/>
      <c r="H54" s="4"/>
      <c r="I54" s="4"/>
      <c r="J54" s="4"/>
      <c r="K54" s="4"/>
    </row>
    <row r="55" spans="1:11" ht="16.5" customHeight="1" x14ac:dyDescent="0.25">
      <c r="A55" s="4"/>
      <c r="B55" s="524"/>
      <c r="C55" s="517"/>
      <c r="D55" s="1980" t="s">
        <v>124</v>
      </c>
      <c r="E55" s="1981"/>
      <c r="F55" s="1982"/>
      <c r="G55" s="1982"/>
      <c r="H55" s="4"/>
      <c r="I55" s="4"/>
      <c r="J55" s="4"/>
      <c r="K55" s="4"/>
    </row>
    <row r="56" spans="1:11" ht="16.5" customHeight="1" x14ac:dyDescent="0.25">
      <c r="A56" s="4"/>
      <c r="B56" s="524"/>
      <c r="C56" s="517"/>
      <c r="D56" s="1980" t="s">
        <v>124</v>
      </c>
      <c r="E56" s="1981"/>
      <c r="F56" s="1982"/>
      <c r="G56" s="1982"/>
      <c r="H56" s="4"/>
      <c r="I56" s="4"/>
      <c r="J56" s="4"/>
      <c r="K56" s="4"/>
    </row>
    <row r="57" spans="1:11" ht="16.5" customHeight="1" x14ac:dyDescent="0.25">
      <c r="A57" s="4"/>
      <c r="B57" s="524"/>
      <c r="C57" s="517"/>
      <c r="D57" s="1980" t="s">
        <v>124</v>
      </c>
      <c r="E57" s="1981"/>
      <c r="F57" s="1982"/>
      <c r="G57" s="1982"/>
      <c r="H57" s="4"/>
      <c r="I57" s="4"/>
      <c r="J57" s="4"/>
      <c r="K57" s="4"/>
    </row>
    <row r="58" spans="1:11" ht="16.5" customHeight="1" x14ac:dyDescent="0.25">
      <c r="A58" s="4"/>
      <c r="B58" s="524"/>
      <c r="C58" s="517"/>
      <c r="D58" s="1980" t="s">
        <v>124</v>
      </c>
      <c r="E58" s="1981"/>
      <c r="F58" s="1982"/>
      <c r="G58" s="1982"/>
      <c r="H58" s="4"/>
      <c r="I58" s="4"/>
      <c r="J58" s="4"/>
      <c r="K58" s="4"/>
    </row>
    <row r="59" spans="1:11" ht="16.5" customHeight="1" x14ac:dyDescent="0.25">
      <c r="A59" s="4"/>
      <c r="B59" s="524"/>
      <c r="C59" s="517"/>
      <c r="D59" s="1980" t="s">
        <v>124</v>
      </c>
      <c r="E59" s="1981"/>
      <c r="F59" s="1982"/>
      <c r="G59" s="1982"/>
      <c r="H59" s="4"/>
      <c r="I59" s="4"/>
      <c r="J59" s="4"/>
      <c r="K59" s="4"/>
    </row>
    <row r="60" spans="1:11" ht="16.5" customHeight="1" x14ac:dyDescent="0.25">
      <c r="A60" s="4"/>
      <c r="B60" s="524"/>
      <c r="C60" s="517"/>
      <c r="D60" s="1980" t="s">
        <v>124</v>
      </c>
      <c r="E60" s="1981"/>
      <c r="F60" s="1982"/>
      <c r="G60" s="1982"/>
      <c r="H60" s="4"/>
      <c r="I60" s="4"/>
      <c r="J60" s="4"/>
      <c r="K60" s="4"/>
    </row>
    <row r="61" spans="1:11" ht="16.5" customHeight="1" x14ac:dyDescent="0.25">
      <c r="A61" s="4"/>
      <c r="B61" s="524"/>
      <c r="C61" s="517"/>
      <c r="D61" s="1980" t="s">
        <v>124</v>
      </c>
      <c r="E61" s="1981"/>
      <c r="F61" s="1982"/>
      <c r="G61" s="1982"/>
      <c r="H61" s="4"/>
      <c r="I61" s="4"/>
      <c r="J61" s="4"/>
      <c r="K61" s="4"/>
    </row>
    <row r="62" spans="1:11" ht="16.5" customHeight="1" x14ac:dyDescent="0.25">
      <c r="A62" s="4"/>
      <c r="B62" s="524"/>
      <c r="C62" s="517"/>
      <c r="D62" s="1980" t="s">
        <v>124</v>
      </c>
      <c r="E62" s="1981"/>
      <c r="F62" s="1982"/>
      <c r="G62" s="1982"/>
      <c r="H62" s="4"/>
      <c r="I62" s="4"/>
      <c r="J62" s="4"/>
      <c r="K62" s="4"/>
    </row>
    <row r="63" spans="1:11" ht="16.5" customHeight="1" x14ac:dyDescent="0.25">
      <c r="A63" s="4"/>
      <c r="B63" s="4"/>
      <c r="C63" s="4"/>
      <c r="D63" s="4"/>
      <c r="E63" s="4"/>
      <c r="F63" s="4"/>
      <c r="G63" s="4"/>
      <c r="H63" s="4"/>
      <c r="I63" s="4"/>
      <c r="J63" s="4"/>
      <c r="K63" s="4"/>
    </row>
    <row r="64" spans="1:11" ht="18" customHeight="1" x14ac:dyDescent="0.25">
      <c r="A64" s="4"/>
      <c r="B64" s="1997" t="s">
        <v>1406</v>
      </c>
      <c r="C64" s="1997"/>
      <c r="D64" s="1997"/>
      <c r="E64" s="1339">
        <f ca="1">E65-SUMIF(D48:E62,"Select",C48:C62)-SUMIF(D48:E62,"No",C48:C62)</f>
        <v>0</v>
      </c>
      <c r="F64" s="4"/>
      <c r="G64" s="4"/>
      <c r="H64" s="4"/>
      <c r="I64" s="4"/>
      <c r="J64" s="4"/>
      <c r="K64" s="4"/>
    </row>
    <row r="65" spans="1:11" ht="18" customHeight="1" x14ac:dyDescent="0.25">
      <c r="A65" s="4"/>
      <c r="B65" s="1997" t="s">
        <v>1407</v>
      </c>
      <c r="C65" s="1997"/>
      <c r="D65" s="1997"/>
      <c r="E65" s="1339">
        <f>SUM(C48:C62)</f>
        <v>0</v>
      </c>
      <c r="F65" s="4"/>
      <c r="G65" s="4"/>
      <c r="H65" s="4"/>
      <c r="I65" s="4"/>
      <c r="J65" s="4"/>
      <c r="K65" s="4"/>
    </row>
    <row r="66" spans="1:11" ht="18" customHeight="1" x14ac:dyDescent="0.25">
      <c r="A66" s="4"/>
      <c r="B66" s="1997" t="s">
        <v>1607</v>
      </c>
      <c r="C66" s="1997"/>
      <c r="D66" s="1997"/>
      <c r="E66" s="1340">
        <f ca="1">IFERROR((E64/E65),0)</f>
        <v>0</v>
      </c>
      <c r="F66" s="4"/>
      <c r="G66" s="4"/>
      <c r="H66" s="4"/>
      <c r="I66" s="4"/>
      <c r="J66" s="4"/>
      <c r="K66" s="4"/>
    </row>
    <row r="67" spans="1:11" ht="20.25" customHeight="1" x14ac:dyDescent="0.25">
      <c r="A67" s="4"/>
      <c r="B67" s="4"/>
      <c r="C67" s="4"/>
      <c r="D67" s="4"/>
      <c r="E67" s="4"/>
      <c r="F67" s="4"/>
      <c r="G67" s="4"/>
      <c r="H67" s="4"/>
      <c r="I67" s="4"/>
      <c r="J67" s="4"/>
      <c r="K67" s="4"/>
    </row>
    <row r="68" spans="1:11" ht="18" customHeight="1" x14ac:dyDescent="0.25">
      <c r="A68" s="1979" t="s">
        <v>186</v>
      </c>
      <c r="B68" s="1979"/>
      <c r="C68" s="1979"/>
      <c r="D68" s="1979"/>
      <c r="E68" s="1979"/>
      <c r="F68" s="1979"/>
      <c r="G68" s="1979"/>
      <c r="H68" s="1979"/>
      <c r="I68" s="1979"/>
      <c r="J68" s="1979"/>
      <c r="K68" s="1979"/>
    </row>
    <row r="69" spans="1:11" x14ac:dyDescent="0.25">
      <c r="A69" s="4"/>
      <c r="B69" s="4"/>
      <c r="C69" s="4"/>
      <c r="D69" s="4"/>
      <c r="E69" s="4"/>
      <c r="F69" s="4"/>
      <c r="G69" s="4"/>
      <c r="H69" s="4"/>
      <c r="I69" s="4"/>
      <c r="J69" s="4"/>
      <c r="K69" s="4"/>
    </row>
    <row r="70" spans="1:11" ht="18" customHeight="1" x14ac:dyDescent="0.25">
      <c r="A70" s="4"/>
      <c r="B70" s="1985" t="s">
        <v>1739</v>
      </c>
      <c r="C70" s="1986"/>
      <c r="D70" s="1986"/>
      <c r="E70" s="1986"/>
      <c r="F70" s="1986"/>
      <c r="G70" s="1168" t="s">
        <v>1737</v>
      </c>
      <c r="H70" s="1987" t="s">
        <v>1738</v>
      </c>
      <c r="I70" s="1988"/>
      <c r="J70" s="4"/>
      <c r="K70" s="4"/>
    </row>
    <row r="71" spans="1:11" ht="24" customHeight="1" x14ac:dyDescent="0.25">
      <c r="A71" s="4"/>
      <c r="B71" s="1576" t="s">
        <v>1523</v>
      </c>
      <c r="C71" s="1577"/>
      <c r="D71" s="1577"/>
      <c r="E71" s="1577"/>
      <c r="F71" s="1578"/>
      <c r="G71" s="1164" t="s">
        <v>124</v>
      </c>
      <c r="H71" s="1587"/>
      <c r="I71" s="1588"/>
      <c r="J71" s="4"/>
      <c r="K71" s="4"/>
    </row>
    <row r="72" spans="1:11" ht="24" customHeight="1" x14ac:dyDescent="0.25">
      <c r="A72" s="4"/>
      <c r="B72" s="1576" t="s">
        <v>1524</v>
      </c>
      <c r="C72" s="1577"/>
      <c r="D72" s="1577"/>
      <c r="E72" s="1577"/>
      <c r="F72" s="1578"/>
      <c r="G72" s="1164" t="s">
        <v>124</v>
      </c>
      <c r="H72" s="1587"/>
      <c r="I72" s="1588"/>
      <c r="J72" s="4"/>
      <c r="K72" s="4"/>
    </row>
    <row r="73" spans="1:11" ht="19.5" customHeight="1" x14ac:dyDescent="0.25">
      <c r="A73" s="4"/>
      <c r="B73" s="4"/>
      <c r="C73" s="4"/>
      <c r="D73" s="4"/>
      <c r="E73" s="4"/>
      <c r="F73" s="4"/>
      <c r="G73" s="4"/>
      <c r="H73" s="4"/>
      <c r="I73" s="4"/>
      <c r="J73" s="4"/>
      <c r="K73" s="4"/>
    </row>
    <row r="74" spans="1:11" ht="18" customHeight="1" x14ac:dyDescent="0.25">
      <c r="A74" s="1979" t="s">
        <v>22</v>
      </c>
      <c r="B74" s="1979"/>
      <c r="C74" s="1979"/>
      <c r="D74" s="1979"/>
      <c r="E74" s="1979"/>
      <c r="F74" s="1979"/>
      <c r="G74" s="1979"/>
      <c r="H74" s="1979"/>
      <c r="I74" s="1979"/>
      <c r="J74" s="1979"/>
      <c r="K74" s="1979"/>
    </row>
    <row r="75" spans="1:11" x14ac:dyDescent="0.25">
      <c r="A75" s="4"/>
      <c r="B75" s="4"/>
      <c r="C75" s="4"/>
      <c r="D75" s="4"/>
      <c r="E75" s="4"/>
      <c r="F75" s="4"/>
      <c r="G75" s="4"/>
      <c r="H75" s="4"/>
      <c r="I75" s="4"/>
      <c r="J75" s="4"/>
      <c r="K75" s="4"/>
    </row>
    <row r="76" spans="1:11" ht="18" customHeight="1" x14ac:dyDescent="0.25">
      <c r="A76" s="4"/>
      <c r="B76" s="290" t="s">
        <v>53</v>
      </c>
      <c r="C76" s="1335">
        <f ca="1">IF(E66&gt;=0.8,3,IF(E66&gt;=0.6,2,IF(E66&gt;=0.4,1,0)))</f>
        <v>0</v>
      </c>
      <c r="D76" s="4"/>
      <c r="E76" s="4"/>
      <c r="F76" s="4"/>
      <c r="G76" s="4"/>
      <c r="H76" s="4"/>
      <c r="I76" s="4"/>
      <c r="J76" s="4"/>
      <c r="K76" s="4"/>
    </row>
    <row r="77" spans="1:11" ht="18" customHeight="1" x14ac:dyDescent="0.25">
      <c r="A77" s="4"/>
      <c r="B77" s="291" t="s">
        <v>492</v>
      </c>
      <c r="C77" s="1335" t="str">
        <f ca="1">IF(AND(COUNTIF(G71:G72,"Submitted")=2,C76&gt;0),"Yes","No")</f>
        <v>No</v>
      </c>
      <c r="D77" s="4"/>
      <c r="E77" s="4"/>
      <c r="F77" s="4"/>
      <c r="G77" s="4"/>
      <c r="H77" s="4"/>
      <c r="I77" s="4"/>
      <c r="J77" s="4"/>
      <c r="K77" s="4"/>
    </row>
    <row r="78" spans="1:11" ht="18" customHeight="1" x14ac:dyDescent="0.25">
      <c r="A78" s="4"/>
      <c r="B78" s="4"/>
      <c r="C78" s="4"/>
      <c r="D78" s="4"/>
      <c r="E78" s="4"/>
      <c r="F78" s="4"/>
      <c r="G78" s="4"/>
      <c r="H78" s="4"/>
      <c r="I78" s="4"/>
      <c r="J78" s="4"/>
      <c r="K78" s="4"/>
    </row>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sheetData>
  <sheetProtection algorithmName="SHA-512" hashValue="t6Ec+8xvkeYAn1eXUfCBV2/H9THUPDtLuKuQ5omZ3NGqTAss3ZAoJ4++7q0JaCWJjCRn57cc0oBiv8Q7C2UxEw==" saltValue="bUDuOS5Uc/5aKmtkI2G2EQ==" spinCount="100000" sheet="1" objects="1" scenarios="1"/>
  <mergeCells count="58">
    <mergeCell ref="D57:E57"/>
    <mergeCell ref="A1:K1"/>
    <mergeCell ref="B35:H35"/>
    <mergeCell ref="B29:H29"/>
    <mergeCell ref="B30:H30"/>
    <mergeCell ref="B31:H31"/>
    <mergeCell ref="B32:H32"/>
    <mergeCell ref="B33:H33"/>
    <mergeCell ref="H2:I4"/>
    <mergeCell ref="A5:K7"/>
    <mergeCell ref="A9:K9"/>
    <mergeCell ref="B11:E11"/>
    <mergeCell ref="A14:K14"/>
    <mergeCell ref="B12:E12"/>
    <mergeCell ref="A37:K37"/>
    <mergeCell ref="F52:G52"/>
    <mergeCell ref="A74:K74"/>
    <mergeCell ref="B71:F71"/>
    <mergeCell ref="B72:F72"/>
    <mergeCell ref="F57:G57"/>
    <mergeCell ref="D58:E58"/>
    <mergeCell ref="F58:G58"/>
    <mergeCell ref="D59:E59"/>
    <mergeCell ref="F59:G59"/>
    <mergeCell ref="D60:E60"/>
    <mergeCell ref="F60:G60"/>
    <mergeCell ref="B65:D65"/>
    <mergeCell ref="B66:D66"/>
    <mergeCell ref="D62:E62"/>
    <mergeCell ref="F62:G62"/>
    <mergeCell ref="B64:D64"/>
    <mergeCell ref="B70:F70"/>
    <mergeCell ref="F48:G48"/>
    <mergeCell ref="D54:E54"/>
    <mergeCell ref="F54:G54"/>
    <mergeCell ref="D49:E49"/>
    <mergeCell ref="F49:G49"/>
    <mergeCell ref="D50:E50"/>
    <mergeCell ref="F50:G50"/>
    <mergeCell ref="D51:E51"/>
    <mergeCell ref="F51:G51"/>
    <mergeCell ref="D52:E52"/>
    <mergeCell ref="B34:H34"/>
    <mergeCell ref="H70:I70"/>
    <mergeCell ref="H71:I71"/>
    <mergeCell ref="H72:I72"/>
    <mergeCell ref="A68:K68"/>
    <mergeCell ref="D61:E61"/>
    <mergeCell ref="F61:G61"/>
    <mergeCell ref="D55:E55"/>
    <mergeCell ref="F55:G55"/>
    <mergeCell ref="D56:E56"/>
    <mergeCell ref="F56:G56"/>
    <mergeCell ref="D53:E53"/>
    <mergeCell ref="F53:G53"/>
    <mergeCell ref="D47:E47"/>
    <mergeCell ref="F47:G47"/>
    <mergeCell ref="D48:E48"/>
  </mergeCells>
  <conditionalFormatting sqref="F12 B12">
    <cfRule type="expression" dxfId="206" priority="503">
      <formula>OR(#REF!="No",#REF!="Không")</formula>
    </cfRule>
  </conditionalFormatting>
  <conditionalFormatting sqref="F12 B12">
    <cfRule type="expression" dxfId="205" priority="505">
      <formula>OR($D12="No",$D12="Không")</formula>
    </cfRule>
    <cfRule type="expression" dxfId="204" priority="506">
      <formula>OR(#REF!="No",#REF!="Không")</formula>
    </cfRule>
  </conditionalFormatting>
  <conditionalFormatting sqref="G71:G72">
    <cfRule type="expression" dxfId="203" priority="4">
      <formula>#REF!&lt;&gt;"Prescriptive Path"</formula>
    </cfRule>
  </conditionalFormatting>
  <conditionalFormatting sqref="H70:I70">
    <cfRule type="expression" dxfId="202" priority="3">
      <formula>#REF!&lt;&gt;"Prescriptive Path"</formula>
    </cfRule>
  </conditionalFormatting>
  <conditionalFormatting sqref="I71">
    <cfRule type="expression" dxfId="201" priority="2">
      <formula>#REF!&lt;&gt;"Prescriptive Path"</formula>
    </cfRule>
  </conditionalFormatting>
  <conditionalFormatting sqref="I72">
    <cfRule type="expression" dxfId="200" priority="1">
      <formula>#REF!&lt;&gt;"Prescriptive Path"</formula>
    </cfRule>
  </conditionalFormatting>
  <dataValidations count="5">
    <dataValidation allowBlank="1" showInputMessage="1" showErrorMessage="1" prompt="Provide more details on the flooring material used" sqref="F47:G47" xr:uid="{00000000-0002-0000-1B00-000000000000}"/>
    <dataValidation type="list" allowBlank="1" showInputMessage="1" showErrorMessage="1" sqref="G71:G72" xr:uid="{00000000-0002-0000-1B00-000001000000}">
      <formula1>"Select,Submitted,Not submitted"</formula1>
    </dataValidation>
    <dataValidation allowBlank="1" showInputMessage="1" showErrorMessage="1" prompt="Provide more details on the sustainable feature of the non-structural wall item" sqref="F48:G62" xr:uid="{00000000-0002-0000-1B00-000002000000}"/>
    <dataValidation allowBlank="1" showInputMessage="1" showErrorMessage="1" prompt="Enter the name of the non-structural wall item" sqref="B48:B62" xr:uid="{00000000-0002-0000-1B00-000003000000}"/>
    <dataValidation type="list" allowBlank="1" showInputMessage="1" showErrorMessage="1" sqref="D48:E62" xr:uid="{00000000-0002-0000-1B00-000004000000}">
      <formula1>$L$48:$S$48</formula1>
    </dataValidation>
  </dataValidations>
  <hyperlinks>
    <hyperlink ref="K2" location="'M-5 Roofing materials'!D3" tooltip="M-5" display="M-5" xr:uid="{00000000-0004-0000-1B00-000000000000}"/>
    <hyperlink ref="K3" location="'M-6 Furniture'!D3" tooltip="M-6" display="M-6" xr:uid="{00000000-0004-0000-1B00-000001000000}"/>
    <hyperlink ref="J3" location="'M-3 Windows and doors'!D3" tooltip="M-3" display="M-3" xr:uid="{00000000-0004-0000-1B00-000002000000}"/>
    <hyperlink ref="J4" location="'M-4 Flooring materials'!D3" tooltip="M-4" display="M-4" xr:uid="{00000000-0004-0000-1B00-000003000000}"/>
    <hyperlink ref="J2" location="'M-1 Structure Materials'!D3" tooltip="M-1" display="M-1" xr:uid="{00000000-0004-0000-1B00-000004000000}"/>
  </hyperlinks>
  <pageMargins left="0.7" right="0.7" top="0.75" bottom="0.75" header="0.3" footer="0.3"/>
  <pageSetup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5">
    <tabColor rgb="FF5F4970"/>
  </sheetPr>
  <dimension ref="A1:M132"/>
  <sheetViews>
    <sheetView showRowColHeaders="0" workbookViewId="0">
      <pane ySplit="8" topLeftCell="A9" activePane="bottomLeft" state="frozen"/>
      <selection pane="bottomLeft" activeCell="J4" sqref="J4"/>
    </sheetView>
  </sheetViews>
  <sheetFormatPr defaultColWidth="0" defaultRowHeight="15" customHeight="1" zeroHeight="1" x14ac:dyDescent="0.25"/>
  <cols>
    <col min="1" max="1" width="3.7109375" customWidth="1"/>
    <col min="2" max="2" width="23.140625" customWidth="1"/>
    <col min="3" max="3" width="21.5703125" customWidth="1"/>
    <col min="4" max="4" width="20.28515625" customWidth="1"/>
    <col min="5" max="5" width="24.28515625" customWidth="1"/>
    <col min="6" max="8" width="17.7109375" customWidth="1"/>
    <col min="9" max="9" width="10.85546875" customWidth="1"/>
    <col min="10" max="11" width="8.7109375" customWidth="1"/>
    <col min="12" max="12" width="9.140625" hidden="1" customWidth="1"/>
    <col min="13" max="13" width="12.28515625" hidden="1" customWidth="1"/>
    <col min="14" max="16384" width="9.140625" hidden="1"/>
  </cols>
  <sheetData>
    <row r="1" spans="1:13" ht="24" customHeight="1" x14ac:dyDescent="0.25">
      <c r="A1" s="1996" t="s">
        <v>1604</v>
      </c>
      <c r="B1" s="1996"/>
      <c r="C1" s="1996"/>
      <c r="D1" s="1996"/>
      <c r="E1" s="1996"/>
      <c r="F1" s="1996"/>
      <c r="G1" s="1996"/>
      <c r="H1" s="1996"/>
      <c r="I1" s="1996"/>
      <c r="J1" s="1996"/>
      <c r="K1" s="1996"/>
    </row>
    <row r="2" spans="1:13" ht="15" customHeight="1" x14ac:dyDescent="0.25">
      <c r="A2" s="4"/>
      <c r="B2" s="4"/>
      <c r="C2" s="4"/>
      <c r="D2" s="4"/>
      <c r="E2" s="4"/>
      <c r="F2" s="4"/>
      <c r="G2" s="5"/>
      <c r="H2" s="1585" t="s">
        <v>1743</v>
      </c>
      <c r="I2" s="1585"/>
      <c r="J2" s="744" t="s">
        <v>56</v>
      </c>
      <c r="K2" s="744" t="s">
        <v>72</v>
      </c>
    </row>
    <row r="3" spans="1:13" ht="15" customHeight="1" x14ac:dyDescent="0.25">
      <c r="A3" s="4"/>
      <c r="B3" s="4"/>
      <c r="C3" s="4"/>
      <c r="D3" s="4"/>
      <c r="E3" s="4"/>
      <c r="F3" s="4"/>
      <c r="G3" s="5"/>
      <c r="H3" s="1585"/>
      <c r="I3" s="1585"/>
      <c r="J3" s="744" t="s">
        <v>60</v>
      </c>
      <c r="K3" s="744" t="s">
        <v>591</v>
      </c>
    </row>
    <row r="4" spans="1:13" ht="15" customHeight="1" x14ac:dyDescent="0.25">
      <c r="A4" s="4"/>
      <c r="B4" s="4"/>
      <c r="C4" s="4"/>
      <c r="D4" s="4"/>
      <c r="E4" s="4"/>
      <c r="F4" s="4"/>
      <c r="G4" s="5"/>
      <c r="H4" s="1586"/>
      <c r="I4" s="1586"/>
      <c r="J4" s="744" t="s">
        <v>68</v>
      </c>
      <c r="K4" s="744"/>
    </row>
    <row r="5" spans="1:13" s="38" customFormat="1" ht="16.5" customHeight="1" x14ac:dyDescent="0.25">
      <c r="A5" s="1600" t="s">
        <v>2600</v>
      </c>
      <c r="B5" s="1601"/>
      <c r="C5" s="1601"/>
      <c r="D5" s="1601"/>
      <c r="E5" s="1601"/>
      <c r="F5" s="1601"/>
      <c r="G5" s="1601"/>
      <c r="H5" s="1601"/>
      <c r="I5" s="1601"/>
      <c r="J5" s="1601"/>
      <c r="K5" s="1601"/>
      <c r="L5"/>
      <c r="M5"/>
    </row>
    <row r="6" spans="1:13" s="38" customFormat="1" ht="16.5" customHeight="1" x14ac:dyDescent="0.25">
      <c r="A6" s="1603"/>
      <c r="B6" s="1604"/>
      <c r="C6" s="1604"/>
      <c r="D6" s="1604"/>
      <c r="E6" s="1604"/>
      <c r="F6" s="1604"/>
      <c r="G6" s="1604"/>
      <c r="H6" s="1604"/>
      <c r="I6" s="1604"/>
      <c r="J6" s="1604"/>
      <c r="K6" s="1604"/>
      <c r="L6"/>
      <c r="M6"/>
    </row>
    <row r="7" spans="1:13" s="38" customFormat="1" ht="16.5" customHeight="1" x14ac:dyDescent="0.25">
      <c r="A7" s="1606"/>
      <c r="B7" s="1607"/>
      <c r="C7" s="1607"/>
      <c r="D7" s="1607"/>
      <c r="E7" s="1607"/>
      <c r="F7" s="1607"/>
      <c r="G7" s="1607"/>
      <c r="H7" s="1607"/>
      <c r="I7" s="1607"/>
      <c r="J7" s="1607"/>
      <c r="K7" s="1607"/>
      <c r="L7"/>
      <c r="M7"/>
    </row>
    <row r="8" spans="1:13" s="38" customFormat="1" ht="10.5" customHeight="1" x14ac:dyDescent="0.25">
      <c r="A8" s="49"/>
      <c r="B8" s="50"/>
      <c r="C8" s="50"/>
      <c r="D8" s="50"/>
      <c r="E8" s="50"/>
      <c r="F8" s="49"/>
      <c r="G8" s="49"/>
      <c r="H8" s="49"/>
      <c r="I8" s="49"/>
      <c r="J8" s="49"/>
      <c r="K8" s="49"/>
      <c r="L8"/>
      <c r="M8"/>
    </row>
    <row r="9" spans="1:13" ht="18" customHeight="1" x14ac:dyDescent="0.25">
      <c r="A9" s="1979" t="s">
        <v>177</v>
      </c>
      <c r="B9" s="1979"/>
      <c r="C9" s="1979"/>
      <c r="D9" s="1979"/>
      <c r="E9" s="1979"/>
      <c r="F9" s="1979"/>
      <c r="G9" s="1979"/>
      <c r="H9" s="1979"/>
      <c r="I9" s="1979"/>
      <c r="J9" s="1979"/>
      <c r="K9" s="1979"/>
    </row>
    <row r="10" spans="1:13" ht="16.5" customHeight="1" x14ac:dyDescent="0.25">
      <c r="A10" s="5"/>
      <c r="B10" s="4"/>
      <c r="C10" s="4"/>
      <c r="D10" s="4"/>
      <c r="E10" s="4"/>
      <c r="F10" s="5"/>
      <c r="G10" s="5"/>
      <c r="H10" s="5"/>
      <c r="I10" s="5"/>
      <c r="J10" s="5"/>
      <c r="K10" s="5"/>
    </row>
    <row r="11" spans="1:13" ht="19.5" customHeight="1" x14ac:dyDescent="0.25">
      <c r="A11" s="5"/>
      <c r="B11" s="1989" t="s">
        <v>178</v>
      </c>
      <c r="C11" s="1990"/>
      <c r="D11" s="1990"/>
      <c r="E11" s="1990"/>
      <c r="F11" s="437" t="s">
        <v>152</v>
      </c>
      <c r="G11" s="437" t="s">
        <v>53</v>
      </c>
      <c r="H11" s="288" t="s">
        <v>492</v>
      </c>
      <c r="I11" s="5"/>
      <c r="J11" s="5"/>
      <c r="K11" s="5"/>
    </row>
    <row r="12" spans="1:13" ht="32.25" customHeight="1" x14ac:dyDescent="0.25">
      <c r="A12" s="5"/>
      <c r="B12" s="1676" t="s">
        <v>958</v>
      </c>
      <c r="C12" s="1677"/>
      <c r="D12" s="1677"/>
      <c r="E12" s="1678"/>
      <c r="F12" s="36">
        <v>2</v>
      </c>
      <c r="G12" s="294">
        <f>C62</f>
        <v>0</v>
      </c>
      <c r="H12" s="294" t="str">
        <f>C63</f>
        <v>No</v>
      </c>
      <c r="I12" s="5"/>
      <c r="J12" s="5"/>
      <c r="K12" s="5"/>
    </row>
    <row r="13" spans="1:13" ht="16.5" customHeight="1" x14ac:dyDescent="0.25">
      <c r="A13" s="5"/>
      <c r="B13" s="4"/>
      <c r="C13" s="4"/>
      <c r="D13" s="4"/>
      <c r="E13" s="4"/>
      <c r="F13" s="5"/>
      <c r="G13" s="5"/>
      <c r="H13" s="5"/>
      <c r="I13" s="5"/>
      <c r="J13" s="5"/>
      <c r="K13" s="5"/>
    </row>
    <row r="14" spans="1:13" ht="18" customHeight="1" x14ac:dyDescent="0.25">
      <c r="A14" s="1979" t="s">
        <v>245</v>
      </c>
      <c r="B14" s="1979"/>
      <c r="C14" s="1979"/>
      <c r="D14" s="1979"/>
      <c r="E14" s="1979"/>
      <c r="F14" s="1979"/>
      <c r="G14" s="1979"/>
      <c r="H14" s="1979"/>
      <c r="I14" s="1979"/>
      <c r="J14" s="1979"/>
      <c r="K14" s="1979"/>
    </row>
    <row r="15" spans="1:13" x14ac:dyDescent="0.25">
      <c r="A15" s="4"/>
      <c r="B15" s="4"/>
      <c r="C15" s="4"/>
      <c r="D15" s="4"/>
      <c r="E15" s="4"/>
      <c r="F15" s="4"/>
      <c r="G15" s="4"/>
      <c r="H15" s="4"/>
      <c r="I15" s="4"/>
      <c r="J15" s="4"/>
      <c r="K15" s="4"/>
    </row>
    <row r="16" spans="1:13" x14ac:dyDescent="0.25">
      <c r="A16" s="4"/>
      <c r="B16" s="593" t="s">
        <v>1089</v>
      </c>
      <c r="C16" s="4"/>
      <c r="D16" s="4"/>
      <c r="E16" s="4"/>
      <c r="F16" s="4"/>
      <c r="G16" s="4"/>
      <c r="H16" s="4"/>
      <c r="I16" s="4"/>
      <c r="J16" s="4"/>
      <c r="K16" s="4"/>
    </row>
    <row r="17" spans="1:11" ht="12" customHeight="1" x14ac:dyDescent="0.25">
      <c r="A17" s="4"/>
      <c r="B17" s="4"/>
      <c r="C17" s="4"/>
      <c r="D17" s="4"/>
      <c r="E17" s="4"/>
      <c r="F17" s="4"/>
      <c r="G17" s="4"/>
      <c r="H17" s="4"/>
      <c r="I17" s="4"/>
      <c r="J17" s="4"/>
      <c r="K17" s="4"/>
    </row>
    <row r="18" spans="1:11" ht="13.5" customHeight="1" x14ac:dyDescent="0.25">
      <c r="A18" s="4"/>
      <c r="B18" s="4"/>
      <c r="C18" s="4"/>
      <c r="D18" s="4"/>
      <c r="E18" s="4"/>
      <c r="F18" s="4"/>
      <c r="G18" s="4"/>
      <c r="H18" s="4"/>
      <c r="I18" s="4"/>
      <c r="J18" s="4"/>
      <c r="K18" s="4"/>
    </row>
    <row r="19" spans="1:11" x14ac:dyDescent="0.25">
      <c r="A19" s="4"/>
      <c r="B19" s="592" t="s">
        <v>1090</v>
      </c>
      <c r="C19" s="4"/>
      <c r="D19" s="4"/>
      <c r="E19" s="4"/>
      <c r="F19" s="4"/>
      <c r="G19" s="4"/>
      <c r="H19" s="4"/>
      <c r="I19" s="4"/>
      <c r="J19" s="4"/>
      <c r="K19" s="4"/>
    </row>
    <row r="20" spans="1:11" ht="11.25" customHeight="1" x14ac:dyDescent="0.25">
      <c r="A20" s="4"/>
      <c r="B20" s="4"/>
      <c r="C20" s="4"/>
      <c r="D20" s="4"/>
      <c r="E20" s="4"/>
      <c r="F20" s="4"/>
      <c r="G20" s="4"/>
      <c r="H20" s="4"/>
      <c r="I20" s="4"/>
      <c r="J20" s="4"/>
      <c r="K20" s="4"/>
    </row>
    <row r="21" spans="1:11" x14ac:dyDescent="0.25">
      <c r="A21" s="4"/>
      <c r="B21" s="600" t="s">
        <v>1088</v>
      </c>
      <c r="C21" s="594"/>
      <c r="D21" s="594"/>
      <c r="E21" s="594"/>
      <c r="F21" s="594"/>
      <c r="G21" s="594"/>
      <c r="H21" s="595"/>
      <c r="I21" s="4"/>
      <c r="J21" s="4"/>
      <c r="K21" s="4"/>
    </row>
    <row r="22" spans="1:11" x14ac:dyDescent="0.25">
      <c r="A22" s="4"/>
      <c r="B22" s="601" t="s">
        <v>2017</v>
      </c>
      <c r="C22" s="596"/>
      <c r="D22" s="596"/>
      <c r="E22" s="596"/>
      <c r="F22" s="596"/>
      <c r="G22" s="596"/>
      <c r="H22" s="597"/>
      <c r="I22" s="4"/>
      <c r="J22" s="4"/>
      <c r="K22" s="4"/>
    </row>
    <row r="23" spans="1:11" x14ac:dyDescent="0.25">
      <c r="A23" s="4"/>
      <c r="B23" s="601" t="s">
        <v>1321</v>
      </c>
      <c r="C23" s="596"/>
      <c r="D23" s="596"/>
      <c r="E23" s="596"/>
      <c r="F23" s="596"/>
      <c r="G23" s="596"/>
      <c r="H23" s="597"/>
      <c r="I23" s="4"/>
      <c r="J23" s="4"/>
      <c r="K23" s="4"/>
    </row>
    <row r="24" spans="1:11" x14ac:dyDescent="0.25">
      <c r="A24" s="4"/>
      <c r="B24" s="601" t="s">
        <v>750</v>
      </c>
      <c r="C24" s="596"/>
      <c r="D24" s="596"/>
      <c r="E24" s="596"/>
      <c r="F24" s="596"/>
      <c r="G24" s="596"/>
      <c r="H24" s="597"/>
      <c r="I24" s="4"/>
      <c r="J24" s="4"/>
      <c r="K24" s="4"/>
    </row>
    <row r="25" spans="1:11" x14ac:dyDescent="0.25">
      <c r="A25" s="4"/>
      <c r="B25" s="601" t="s">
        <v>751</v>
      </c>
      <c r="C25" s="596"/>
      <c r="D25" s="596"/>
      <c r="E25" s="596"/>
      <c r="F25" s="596"/>
      <c r="G25" s="596"/>
      <c r="H25" s="597"/>
      <c r="I25" s="4"/>
      <c r="J25" s="4"/>
      <c r="K25" s="4"/>
    </row>
    <row r="26" spans="1:11" x14ac:dyDescent="0.25">
      <c r="A26" s="4"/>
      <c r="B26" s="602" t="s">
        <v>960</v>
      </c>
      <c r="C26" s="598"/>
      <c r="D26" s="598"/>
      <c r="E26" s="598"/>
      <c r="F26" s="598"/>
      <c r="G26" s="598"/>
      <c r="H26" s="599"/>
      <c r="I26" s="4"/>
      <c r="J26" s="4"/>
      <c r="K26" s="4"/>
    </row>
    <row r="27" spans="1:11" x14ac:dyDescent="0.25">
      <c r="A27" s="4"/>
      <c r="B27" s="4"/>
      <c r="C27" s="4"/>
      <c r="D27" s="4"/>
      <c r="E27" s="4"/>
      <c r="F27" s="4"/>
      <c r="G27" s="4"/>
      <c r="H27" s="4"/>
      <c r="I27" s="4"/>
      <c r="J27" s="4"/>
      <c r="K27" s="4"/>
    </row>
    <row r="28" spans="1:11" x14ac:dyDescent="0.25">
      <c r="A28" s="4"/>
      <c r="B28" s="592" t="s">
        <v>962</v>
      </c>
      <c r="C28" s="4"/>
      <c r="D28" s="4"/>
      <c r="E28" s="4"/>
      <c r="F28" s="4"/>
      <c r="G28" s="4"/>
      <c r="H28" s="4"/>
      <c r="I28" s="4"/>
      <c r="J28" s="4"/>
      <c r="K28" s="4"/>
    </row>
    <row r="29" spans="1:11" x14ac:dyDescent="0.25">
      <c r="A29" s="4"/>
      <c r="B29" s="4"/>
      <c r="C29" s="4"/>
      <c r="D29" s="4"/>
      <c r="E29" s="4"/>
      <c r="F29" s="4"/>
      <c r="G29" s="4"/>
      <c r="H29" s="4"/>
      <c r="I29" s="4"/>
      <c r="J29" s="4"/>
      <c r="K29" s="4"/>
    </row>
    <row r="30" spans="1:11" ht="12.75" customHeight="1" x14ac:dyDescent="0.25">
      <c r="A30" s="4"/>
      <c r="B30" s="4"/>
      <c r="C30" s="4"/>
      <c r="D30" s="4"/>
      <c r="E30" s="4"/>
      <c r="F30" s="4"/>
      <c r="G30" s="4"/>
      <c r="H30" s="4"/>
      <c r="I30" s="4"/>
      <c r="J30" s="4"/>
      <c r="K30" s="4"/>
    </row>
    <row r="31" spans="1:11" ht="18" customHeight="1" x14ac:dyDescent="0.25">
      <c r="A31" s="1979" t="s">
        <v>23</v>
      </c>
      <c r="B31" s="1979"/>
      <c r="C31" s="1979"/>
      <c r="D31" s="1979"/>
      <c r="E31" s="1979"/>
      <c r="F31" s="1979"/>
      <c r="G31" s="1979"/>
      <c r="H31" s="1979"/>
      <c r="I31" s="1979"/>
      <c r="J31" s="1979"/>
      <c r="K31" s="1979"/>
    </row>
    <row r="32" spans="1:11" x14ac:dyDescent="0.25">
      <c r="A32" s="4"/>
      <c r="B32" s="4"/>
      <c r="C32" s="4"/>
      <c r="D32" s="4"/>
      <c r="E32" s="4"/>
      <c r="F32" s="4"/>
      <c r="G32" s="4"/>
      <c r="H32" s="4"/>
      <c r="I32" s="4"/>
      <c r="J32" s="4"/>
      <c r="K32" s="4"/>
    </row>
    <row r="33" spans="1:13" x14ac:dyDescent="0.25">
      <c r="A33" s="4"/>
      <c r="B33" s="747" t="s">
        <v>1091</v>
      </c>
      <c r="C33" s="4"/>
      <c r="D33" s="4"/>
      <c r="E33" s="4"/>
      <c r="F33" s="4"/>
      <c r="G33" s="4"/>
      <c r="H33" s="4"/>
      <c r="I33" s="4"/>
      <c r="J33" s="4"/>
      <c r="K33" s="4"/>
    </row>
    <row r="34" spans="1:13" x14ac:dyDescent="0.25">
      <c r="A34" s="4"/>
      <c r="B34" s="592" t="s">
        <v>961</v>
      </c>
      <c r="C34" s="4"/>
      <c r="D34" s="4"/>
      <c r="E34" s="4"/>
      <c r="F34" s="4"/>
      <c r="G34" s="4"/>
      <c r="H34" s="4"/>
      <c r="I34" s="4"/>
      <c r="J34" s="4"/>
      <c r="K34" s="4"/>
    </row>
    <row r="35" spans="1:13" x14ac:dyDescent="0.25">
      <c r="A35" s="4"/>
      <c r="B35" s="4"/>
      <c r="C35" s="4"/>
      <c r="D35" s="4"/>
      <c r="E35" s="4"/>
      <c r="F35" s="4"/>
      <c r="G35" s="4"/>
      <c r="H35" s="4"/>
      <c r="I35" s="4"/>
      <c r="J35" s="4"/>
      <c r="K35" s="4"/>
    </row>
    <row r="36" spans="1:13" x14ac:dyDescent="0.25">
      <c r="A36" s="4"/>
      <c r="B36" s="642" t="s">
        <v>1103</v>
      </c>
      <c r="C36" s="4"/>
      <c r="D36" s="4"/>
      <c r="E36" s="4"/>
      <c r="F36" s="4"/>
      <c r="G36" s="4"/>
      <c r="H36" s="4"/>
      <c r="I36" s="4"/>
      <c r="J36" s="4"/>
      <c r="K36" s="4"/>
    </row>
    <row r="37" spans="1:13" ht="11.25" customHeight="1" x14ac:dyDescent="0.25">
      <c r="A37" s="4"/>
      <c r="B37" s="604"/>
      <c r="C37" s="4"/>
      <c r="D37" s="4"/>
      <c r="E37" s="4"/>
      <c r="F37" s="4"/>
      <c r="G37" s="4"/>
      <c r="H37" s="4"/>
      <c r="I37" s="4"/>
      <c r="J37" s="4"/>
      <c r="K37" s="4"/>
    </row>
    <row r="38" spans="1:13" ht="18" customHeight="1" x14ac:dyDescent="0.25">
      <c r="A38" s="4"/>
      <c r="B38" s="349" t="s">
        <v>965</v>
      </c>
      <c r="C38" s="350" t="s">
        <v>26</v>
      </c>
      <c r="D38" s="350" t="s">
        <v>40</v>
      </c>
      <c r="E38" s="522" t="s">
        <v>654</v>
      </c>
      <c r="F38" s="1998" t="s">
        <v>30</v>
      </c>
      <c r="G38" s="1999"/>
      <c r="H38" s="4"/>
      <c r="I38" s="4"/>
      <c r="J38" s="4"/>
      <c r="K38" s="4"/>
      <c r="M38" s="350" t="s">
        <v>964</v>
      </c>
    </row>
    <row r="39" spans="1:13" ht="16.5" customHeight="1" x14ac:dyDescent="0.25">
      <c r="A39" s="4"/>
      <c r="B39" s="524"/>
      <c r="C39" s="517"/>
      <c r="D39" s="517"/>
      <c r="E39" s="524" t="s">
        <v>124</v>
      </c>
      <c r="F39" s="1982"/>
      <c r="G39" s="1982"/>
      <c r="H39" s="4"/>
      <c r="I39" s="4"/>
      <c r="J39" s="4"/>
      <c r="K39" s="4"/>
      <c r="M39" s="296">
        <f>IF(AND(E39&lt;&gt;"No",E39&lt;&gt;"Select"),D39*C39,0)</f>
        <v>0</v>
      </c>
    </row>
    <row r="40" spans="1:13" ht="16.5" customHeight="1" x14ac:dyDescent="0.25">
      <c r="A40" s="4"/>
      <c r="B40" s="524"/>
      <c r="C40" s="523"/>
      <c r="D40" s="523"/>
      <c r="E40" s="877" t="s">
        <v>124</v>
      </c>
      <c r="F40" s="1982"/>
      <c r="G40" s="1982"/>
      <c r="H40" s="4"/>
      <c r="I40" s="4"/>
      <c r="J40" s="4"/>
      <c r="K40" s="4"/>
      <c r="M40" s="525">
        <f t="shared" ref="M40:M48" si="0">IF(AND(E40&lt;&gt;"No",E40&lt;&gt;"Select"),D40*C40,0)</f>
        <v>0</v>
      </c>
    </row>
    <row r="41" spans="1:13" ht="16.5" customHeight="1" x14ac:dyDescent="0.25">
      <c r="A41" s="4"/>
      <c r="B41" s="524"/>
      <c r="C41" s="523"/>
      <c r="D41" s="523"/>
      <c r="E41" s="877" t="s">
        <v>124</v>
      </c>
      <c r="F41" s="1982"/>
      <c r="G41" s="1982"/>
      <c r="H41" s="4"/>
      <c r="I41" s="4"/>
      <c r="J41" s="4"/>
      <c r="K41" s="4"/>
      <c r="M41" s="525">
        <f t="shared" si="0"/>
        <v>0</v>
      </c>
    </row>
    <row r="42" spans="1:13" ht="16.5" customHeight="1" x14ac:dyDescent="0.25">
      <c r="A42" s="4"/>
      <c r="B42" s="524"/>
      <c r="C42" s="523"/>
      <c r="D42" s="523"/>
      <c r="E42" s="877" t="s">
        <v>124</v>
      </c>
      <c r="F42" s="1982"/>
      <c r="G42" s="1982"/>
      <c r="H42" s="4"/>
      <c r="I42" s="4"/>
      <c r="J42" s="4"/>
      <c r="K42" s="4"/>
      <c r="M42" s="525">
        <f t="shared" si="0"/>
        <v>0</v>
      </c>
    </row>
    <row r="43" spans="1:13" ht="16.5" customHeight="1" x14ac:dyDescent="0.25">
      <c r="A43" s="4"/>
      <c r="B43" s="524"/>
      <c r="C43" s="523"/>
      <c r="D43" s="523"/>
      <c r="E43" s="877" t="s">
        <v>124</v>
      </c>
      <c r="F43" s="1982"/>
      <c r="G43" s="1982"/>
      <c r="H43" s="4"/>
      <c r="I43" s="4"/>
      <c r="J43" s="4"/>
      <c r="K43" s="4"/>
      <c r="M43" s="525">
        <f t="shared" si="0"/>
        <v>0</v>
      </c>
    </row>
    <row r="44" spans="1:13" ht="16.5" customHeight="1" x14ac:dyDescent="0.25">
      <c r="A44" s="4"/>
      <c r="B44" s="524"/>
      <c r="C44" s="523"/>
      <c r="D44" s="523"/>
      <c r="E44" s="877" t="s">
        <v>124</v>
      </c>
      <c r="F44" s="1982"/>
      <c r="G44" s="1982"/>
      <c r="H44" s="4"/>
      <c r="I44" s="4"/>
      <c r="J44" s="4"/>
      <c r="K44" s="4"/>
      <c r="M44" s="525">
        <f t="shared" si="0"/>
        <v>0</v>
      </c>
    </row>
    <row r="45" spans="1:13" ht="16.5" customHeight="1" x14ac:dyDescent="0.25">
      <c r="A45" s="4"/>
      <c r="B45" s="524"/>
      <c r="C45" s="523"/>
      <c r="D45" s="523"/>
      <c r="E45" s="877" t="s">
        <v>124</v>
      </c>
      <c r="F45" s="1982"/>
      <c r="G45" s="1982"/>
      <c r="H45" s="4"/>
      <c r="I45" s="4"/>
      <c r="J45" s="4"/>
      <c r="K45" s="4"/>
      <c r="M45" s="525">
        <f t="shared" si="0"/>
        <v>0</v>
      </c>
    </row>
    <row r="46" spans="1:13" ht="16.5" customHeight="1" x14ac:dyDescent="0.25">
      <c r="A46" s="4"/>
      <c r="B46" s="524"/>
      <c r="C46" s="523"/>
      <c r="D46" s="523"/>
      <c r="E46" s="877" t="s">
        <v>124</v>
      </c>
      <c r="F46" s="1982"/>
      <c r="G46" s="1982"/>
      <c r="H46" s="4"/>
      <c r="I46" s="4"/>
      <c r="J46" s="4"/>
      <c r="K46" s="4"/>
      <c r="M46" s="525">
        <f t="shared" si="0"/>
        <v>0</v>
      </c>
    </row>
    <row r="47" spans="1:13" ht="16.5" customHeight="1" x14ac:dyDescent="0.25">
      <c r="A47" s="4"/>
      <c r="B47" s="524"/>
      <c r="C47" s="523"/>
      <c r="D47" s="523"/>
      <c r="E47" s="877" t="s">
        <v>124</v>
      </c>
      <c r="F47" s="1982"/>
      <c r="G47" s="1982"/>
      <c r="H47" s="4"/>
      <c r="I47" s="4"/>
      <c r="J47" s="4"/>
      <c r="K47" s="4"/>
      <c r="M47" s="525">
        <f t="shared" si="0"/>
        <v>0</v>
      </c>
    </row>
    <row r="48" spans="1:13" ht="16.5" customHeight="1" x14ac:dyDescent="0.25">
      <c r="A48" s="4"/>
      <c r="B48" s="524"/>
      <c r="C48" s="523"/>
      <c r="D48" s="523"/>
      <c r="E48" s="877" t="s">
        <v>124</v>
      </c>
      <c r="F48" s="1982"/>
      <c r="G48" s="1982"/>
      <c r="H48" s="4"/>
      <c r="I48" s="4"/>
      <c r="J48" s="4"/>
      <c r="K48" s="4"/>
      <c r="M48" s="525">
        <f t="shared" si="0"/>
        <v>0</v>
      </c>
    </row>
    <row r="49" spans="1:11" x14ac:dyDescent="0.25">
      <c r="A49" s="4"/>
      <c r="B49" s="4"/>
      <c r="C49" s="4"/>
      <c r="D49" s="4"/>
      <c r="E49" s="4"/>
      <c r="F49" s="4"/>
      <c r="G49" s="4"/>
      <c r="H49" s="4"/>
      <c r="I49" s="4"/>
      <c r="J49" s="4"/>
      <c r="K49" s="4"/>
    </row>
    <row r="50" spans="1:11" ht="20.25" customHeight="1" x14ac:dyDescent="0.25">
      <c r="A50" s="4"/>
      <c r="B50" s="2000" t="s">
        <v>1076</v>
      </c>
      <c r="C50" s="2000"/>
      <c r="D50" s="2000"/>
      <c r="E50" s="1339">
        <f>SUM(M39:M48)</f>
        <v>0</v>
      </c>
      <c r="F50" s="4"/>
      <c r="G50" s="4"/>
      <c r="H50" s="4"/>
      <c r="I50" s="4"/>
      <c r="J50" s="4"/>
      <c r="K50" s="4"/>
    </row>
    <row r="51" spans="1:11" ht="18" customHeight="1" x14ac:dyDescent="0.25">
      <c r="A51" s="4"/>
      <c r="B51" s="2000" t="s">
        <v>1075</v>
      </c>
      <c r="C51" s="2000"/>
      <c r="D51" s="2000"/>
      <c r="E51" s="1341">
        <f>SUMPRODUCT(C39:C48,D39:D48)</f>
        <v>0</v>
      </c>
      <c r="F51" s="4"/>
      <c r="G51" s="4"/>
      <c r="H51" s="4"/>
      <c r="I51" s="4"/>
      <c r="J51" s="4"/>
      <c r="K51" s="4"/>
    </row>
    <row r="52" spans="1:11" ht="19.5" customHeight="1" x14ac:dyDescent="0.25">
      <c r="A52" s="4"/>
      <c r="B52" s="2000" t="s">
        <v>963</v>
      </c>
      <c r="C52" s="2000"/>
      <c r="D52" s="2000"/>
      <c r="E52" s="1340">
        <f>IFERROR(E50/E51,0)</f>
        <v>0</v>
      </c>
      <c r="F52" s="4"/>
      <c r="G52" s="4"/>
      <c r="H52" s="4"/>
      <c r="I52" s="4"/>
      <c r="J52" s="4"/>
      <c r="K52" s="4"/>
    </row>
    <row r="53" spans="1:11" ht="18" customHeight="1" x14ac:dyDescent="0.25">
      <c r="A53" s="4"/>
      <c r="B53" s="4"/>
      <c r="C53" s="4"/>
      <c r="D53" s="4"/>
      <c r="E53" s="4"/>
      <c r="F53" s="4"/>
      <c r="G53" s="4"/>
      <c r="H53" s="4"/>
      <c r="I53" s="4"/>
      <c r="J53" s="4"/>
      <c r="K53" s="4"/>
    </row>
    <row r="54" spans="1:11" ht="18" customHeight="1" x14ac:dyDescent="0.25">
      <c r="A54" s="1979" t="s">
        <v>186</v>
      </c>
      <c r="B54" s="1979"/>
      <c r="C54" s="1979"/>
      <c r="D54" s="1979"/>
      <c r="E54" s="1979"/>
      <c r="F54" s="1979"/>
      <c r="G54" s="1979"/>
      <c r="H54" s="1979"/>
      <c r="I54" s="1979"/>
      <c r="J54" s="1979"/>
      <c r="K54" s="1979"/>
    </row>
    <row r="55" spans="1:11" x14ac:dyDescent="0.25">
      <c r="A55" s="4"/>
      <c r="B55" s="4"/>
      <c r="C55" s="4"/>
      <c r="D55" s="4"/>
      <c r="E55" s="4"/>
      <c r="F55" s="4"/>
      <c r="G55" s="4"/>
      <c r="H55" s="4"/>
      <c r="I55" s="4"/>
      <c r="J55" s="4"/>
      <c r="K55" s="4"/>
    </row>
    <row r="56" spans="1:11" ht="18" customHeight="1" x14ac:dyDescent="0.25">
      <c r="A56" s="4"/>
      <c r="B56" s="1985" t="s">
        <v>1739</v>
      </c>
      <c r="C56" s="1986"/>
      <c r="D56" s="1986"/>
      <c r="E56" s="1986"/>
      <c r="F56" s="1986"/>
      <c r="G56" s="1168" t="s">
        <v>1737</v>
      </c>
      <c r="H56" s="1987" t="s">
        <v>1738</v>
      </c>
      <c r="I56" s="1988"/>
      <c r="J56" s="4"/>
      <c r="K56" s="4"/>
    </row>
    <row r="57" spans="1:11" ht="24" customHeight="1" x14ac:dyDescent="0.25">
      <c r="A57" s="4"/>
      <c r="B57" s="1576" t="s">
        <v>1523</v>
      </c>
      <c r="C57" s="1577"/>
      <c r="D57" s="1577"/>
      <c r="E57" s="1577"/>
      <c r="F57" s="1578"/>
      <c r="G57" s="1164" t="s">
        <v>124</v>
      </c>
      <c r="H57" s="1587"/>
      <c r="I57" s="1588"/>
      <c r="J57" s="4"/>
      <c r="K57" s="4"/>
    </row>
    <row r="58" spans="1:11" ht="24" customHeight="1" x14ac:dyDescent="0.25">
      <c r="A58" s="4"/>
      <c r="B58" s="1576" t="s">
        <v>1524</v>
      </c>
      <c r="C58" s="1577"/>
      <c r="D58" s="1577"/>
      <c r="E58" s="1577"/>
      <c r="F58" s="1578"/>
      <c r="G58" s="1164" t="s">
        <v>124</v>
      </c>
      <c r="H58" s="1587"/>
      <c r="I58" s="1588"/>
      <c r="J58" s="4"/>
      <c r="K58" s="4"/>
    </row>
    <row r="59" spans="1:11" ht="18.75" customHeight="1" x14ac:dyDescent="0.25">
      <c r="A59" s="4"/>
      <c r="B59" s="50"/>
      <c r="C59" s="50"/>
      <c r="D59" s="50"/>
      <c r="E59" s="50"/>
      <c r="F59" s="50"/>
      <c r="G59" s="4"/>
      <c r="H59" s="4"/>
      <c r="I59" s="4"/>
      <c r="J59" s="4"/>
      <c r="K59" s="4"/>
    </row>
    <row r="60" spans="1:11" ht="18" customHeight="1" x14ac:dyDescent="0.25">
      <c r="A60" s="1979" t="s">
        <v>22</v>
      </c>
      <c r="B60" s="1979"/>
      <c r="C60" s="1979"/>
      <c r="D60" s="1979"/>
      <c r="E60" s="1979"/>
      <c r="F60" s="1979"/>
      <c r="G60" s="1979"/>
      <c r="H60" s="1979"/>
      <c r="I60" s="1979"/>
      <c r="J60" s="1979"/>
      <c r="K60" s="1979"/>
    </row>
    <row r="61" spans="1:11" x14ac:dyDescent="0.25">
      <c r="A61" s="4"/>
      <c r="B61" s="4"/>
      <c r="C61" s="4"/>
      <c r="D61" s="4"/>
      <c r="E61" s="4"/>
      <c r="F61" s="4"/>
      <c r="G61" s="4"/>
      <c r="H61" s="4"/>
      <c r="I61" s="4"/>
      <c r="J61" s="4"/>
      <c r="K61" s="4"/>
    </row>
    <row r="62" spans="1:11" ht="18" customHeight="1" x14ac:dyDescent="0.25">
      <c r="A62" s="4"/>
      <c r="B62" s="290" t="s">
        <v>53</v>
      </c>
      <c r="C62" s="1335">
        <f>IF(E52&gt;=0.8,2,IF(E52&gt;=0.4,1,0))</f>
        <v>0</v>
      </c>
      <c r="D62" s="4"/>
      <c r="E62" s="4"/>
      <c r="F62" s="4"/>
      <c r="G62" s="4"/>
      <c r="H62" s="4"/>
      <c r="I62" s="4"/>
      <c r="J62" s="4"/>
      <c r="K62" s="4"/>
    </row>
    <row r="63" spans="1:11" ht="18" customHeight="1" x14ac:dyDescent="0.25">
      <c r="A63" s="4"/>
      <c r="B63" s="291" t="s">
        <v>492</v>
      </c>
      <c r="C63" s="1335" t="str">
        <f>IF(AND(COUNTIF(G57:G58,"Submitted")=2,C62&gt;0),"Yes","No")</f>
        <v>No</v>
      </c>
      <c r="D63" s="4"/>
      <c r="E63" s="4"/>
      <c r="F63" s="4"/>
      <c r="G63" s="4"/>
      <c r="H63" s="4"/>
      <c r="I63" s="4"/>
      <c r="J63" s="4"/>
      <c r="K63" s="4"/>
    </row>
    <row r="64" spans="1:11" ht="19.5" customHeight="1" x14ac:dyDescent="0.25">
      <c r="A64" s="4"/>
      <c r="B64" s="4"/>
      <c r="C64" s="4"/>
      <c r="D64" s="4"/>
      <c r="E64" s="4"/>
      <c r="F64" s="4"/>
      <c r="G64" s="4"/>
      <c r="H64" s="4"/>
      <c r="I64" s="4"/>
      <c r="J64" s="4"/>
      <c r="K64" s="4"/>
    </row>
    <row r="65" spans="1:11" ht="14.25" hidden="1" customHeight="1" x14ac:dyDescent="0.25">
      <c r="A65" s="4"/>
      <c r="B65" s="4"/>
      <c r="C65" s="4"/>
      <c r="D65" s="4"/>
      <c r="E65" s="4"/>
      <c r="F65" s="4"/>
      <c r="G65" s="4"/>
      <c r="H65" s="4"/>
      <c r="I65" s="4"/>
      <c r="J65" s="4"/>
      <c r="K65" s="4"/>
    </row>
    <row r="66" spans="1:11" ht="15" hidden="1" customHeight="1" x14ac:dyDescent="0.25"/>
    <row r="67" spans="1:11" ht="15" hidden="1" customHeight="1" x14ac:dyDescent="0.25"/>
    <row r="68" spans="1:11" ht="15" hidden="1" customHeight="1" x14ac:dyDescent="0.25"/>
    <row r="69" spans="1:11" ht="15" hidden="1" customHeight="1" x14ac:dyDescent="0.25"/>
    <row r="70" spans="1:11" ht="15" hidden="1" customHeight="1" x14ac:dyDescent="0.25"/>
    <row r="71" spans="1:11" ht="15" hidden="1" customHeight="1" x14ac:dyDescent="0.25"/>
    <row r="72" spans="1:11" ht="15" hidden="1" customHeight="1" x14ac:dyDescent="0.25"/>
    <row r="73" spans="1:11" ht="15" hidden="1" customHeight="1" x14ac:dyDescent="0.25"/>
    <row r="74" spans="1:11" ht="15" hidden="1" customHeight="1" x14ac:dyDescent="0.25"/>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sheetData>
  <sheetProtection algorithmName="SHA-512" hashValue="IZZnO6/vHeB0ioQM9IDGCZ7Mibap7jtHBWQ8j2v/Q14LzpFWOfbZZrfhsJ2kBOFfdgq8CoYN1g4y2WTM368exA==" saltValue="QnysuJzMoTMTvZG5EKRM+Q==" spinCount="100000" sheet="1" objects="1" scenarios="1"/>
  <mergeCells count="30">
    <mergeCell ref="A1:K1"/>
    <mergeCell ref="A54:K54"/>
    <mergeCell ref="A60:K60"/>
    <mergeCell ref="A9:K9"/>
    <mergeCell ref="B58:F58"/>
    <mergeCell ref="F44:G44"/>
    <mergeCell ref="F48:G48"/>
    <mergeCell ref="B50:D50"/>
    <mergeCell ref="B51:D51"/>
    <mergeCell ref="B52:D52"/>
    <mergeCell ref="B57:F57"/>
    <mergeCell ref="H2:I4"/>
    <mergeCell ref="A5:K7"/>
    <mergeCell ref="B12:E12"/>
    <mergeCell ref="F47:G47"/>
    <mergeCell ref="B11:E11"/>
    <mergeCell ref="H57:I57"/>
    <mergeCell ref="H58:I58"/>
    <mergeCell ref="F46:G46"/>
    <mergeCell ref="F45:G45"/>
    <mergeCell ref="A14:K14"/>
    <mergeCell ref="A31:K31"/>
    <mergeCell ref="B56:F56"/>
    <mergeCell ref="H56:I56"/>
    <mergeCell ref="F38:G38"/>
    <mergeCell ref="F39:G39"/>
    <mergeCell ref="F40:G40"/>
    <mergeCell ref="F43:G43"/>
    <mergeCell ref="F41:G41"/>
    <mergeCell ref="F42:G42"/>
  </mergeCells>
  <conditionalFormatting sqref="F12 B12">
    <cfRule type="expression" dxfId="199" priority="457">
      <formula>OR(#REF!="No",#REF!="Không")</formula>
    </cfRule>
  </conditionalFormatting>
  <conditionalFormatting sqref="F12 B12">
    <cfRule type="expression" dxfId="198" priority="459">
      <formula>OR($D12="No",$D12="Không")</formula>
    </cfRule>
    <cfRule type="expression" dxfId="197" priority="460">
      <formula>OR(#REF!="No",#REF!="Không")</formula>
    </cfRule>
  </conditionalFormatting>
  <conditionalFormatting sqref="G57">
    <cfRule type="expression" dxfId="196" priority="5">
      <formula>#REF!&lt;&gt;"Prescriptive Path"</formula>
    </cfRule>
  </conditionalFormatting>
  <conditionalFormatting sqref="G58">
    <cfRule type="expression" dxfId="195" priority="4">
      <formula>#REF!&lt;&gt;"Prescriptive Path"</formula>
    </cfRule>
  </conditionalFormatting>
  <conditionalFormatting sqref="H56:I56">
    <cfRule type="expression" dxfId="194" priority="3">
      <formula>#REF!&lt;&gt;"Prescriptive Path"</formula>
    </cfRule>
  </conditionalFormatting>
  <conditionalFormatting sqref="I57">
    <cfRule type="expression" dxfId="193" priority="2">
      <formula>#REF!&lt;&gt;"Prescriptive Path"</formula>
    </cfRule>
  </conditionalFormatting>
  <conditionalFormatting sqref="I58">
    <cfRule type="expression" dxfId="192" priority="1">
      <formula>#REF!&lt;&gt;"Prescriptive Path"</formula>
    </cfRule>
  </conditionalFormatting>
  <dataValidations count="4">
    <dataValidation type="list" allowBlank="1" showInputMessage="1" showErrorMessage="1" sqref="G57:G58" xr:uid="{00000000-0002-0000-1C00-000000000000}">
      <formula1>"Select,Submitted,Not submitted"</formula1>
    </dataValidation>
    <dataValidation allowBlank="1" showInputMessage="1" showErrorMessage="1" prompt="Enter the name of the window/door" sqref="B39:B48" xr:uid="{00000000-0002-0000-1C00-000001000000}"/>
    <dataValidation allowBlank="1" showInputMessage="1" showErrorMessage="1" prompt="Provide more details on the sustainable feature of the window/door frame" sqref="F39:G48" xr:uid="{00000000-0002-0000-1C00-000002000000}"/>
    <dataValidation type="list" allowBlank="1" showInputMessage="1" showErrorMessage="1" sqref="E39:E48" xr:uid="{00000000-0002-0000-1C00-000003000000}">
      <formula1>"Select,Reused,Recycled content,Sustainable timber,Rapidly renewable material,Local material,No"</formula1>
    </dataValidation>
  </dataValidations>
  <hyperlinks>
    <hyperlink ref="K2" location="'M-5 Roofing materials'!D3" tooltip="M-5" display="M-5" xr:uid="{00000000-0004-0000-1C00-000000000000}"/>
    <hyperlink ref="K3" location="'M-6 Furniture'!D3" tooltip="M-6" display="M-6" xr:uid="{00000000-0004-0000-1C00-000001000000}"/>
    <hyperlink ref="J4" location="'M-4 Flooring materials'!D3" tooltip="M-4" display="M-4" xr:uid="{00000000-0004-0000-1C00-000002000000}"/>
    <hyperlink ref="J3" location="'M-2 Non-structural walls'!D3" tooltip="M-2" display="M-2" xr:uid="{00000000-0004-0000-1C00-000003000000}"/>
    <hyperlink ref="J2" location="'M-1 Structure Materials'!D3" tooltip="M-1" display="M-1" xr:uid="{00000000-0004-0000-1C00-000004000000}"/>
  </hyperlink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Q163"/>
  <sheetViews>
    <sheetView showGridLines="0" showRowColHeaders="0" zoomScaleNormal="100" workbookViewId="0">
      <pane ySplit="6" topLeftCell="A8" activePane="bottomLeft" state="frozen"/>
      <selection activeCell="M3" sqref="M3"/>
      <selection pane="bottomLeft" activeCell="M3" sqref="M3"/>
    </sheetView>
  </sheetViews>
  <sheetFormatPr defaultColWidth="0" defaultRowHeight="15" zeroHeight="1" x14ac:dyDescent="0.25"/>
  <cols>
    <col min="1" max="1" width="3.7109375" customWidth="1"/>
    <col min="2" max="3" width="10.7109375" customWidth="1"/>
    <col min="4" max="9" width="13" customWidth="1"/>
    <col min="10" max="16" width="10.7109375" customWidth="1"/>
    <col min="17" max="17" width="5.42578125" customWidth="1"/>
    <col min="18" max="16384" width="9.140625" hidden="1"/>
  </cols>
  <sheetData>
    <row r="1" spans="1:17" ht="28.5" x14ac:dyDescent="0.25">
      <c r="A1" s="1371" t="s">
        <v>2335</v>
      </c>
      <c r="B1" s="1372"/>
      <c r="C1" s="1372"/>
      <c r="D1" s="1372"/>
      <c r="E1" s="1372"/>
      <c r="F1" s="1372"/>
      <c r="G1" s="1372"/>
      <c r="H1" s="1372"/>
      <c r="I1" s="1372"/>
      <c r="J1" s="1369" t="s">
        <v>1045</v>
      </c>
      <c r="K1" s="1369"/>
      <c r="L1" s="1369"/>
      <c r="M1" s="1369"/>
      <c r="N1" s="1369"/>
      <c r="O1" s="1369"/>
      <c r="P1" s="1369"/>
      <c r="Q1" s="1000"/>
    </row>
    <row r="2" spans="1:17" ht="6" customHeight="1" x14ac:dyDescent="0.3">
      <c r="A2" s="1001"/>
      <c r="B2" s="1370"/>
      <c r="C2" s="1370"/>
      <c r="D2" s="1002"/>
      <c r="E2" s="1002"/>
      <c r="F2" s="1001"/>
      <c r="G2" s="1003"/>
      <c r="H2" s="1000"/>
      <c r="I2" s="1000"/>
      <c r="J2" s="1368"/>
      <c r="K2" s="1368"/>
      <c r="L2" s="1004"/>
      <c r="M2" s="1004"/>
      <c r="N2" s="1001"/>
      <c r="O2" s="1001"/>
      <c r="P2" s="1000"/>
      <c r="Q2" s="1000"/>
    </row>
    <row r="3" spans="1:17" ht="18.75" x14ac:dyDescent="0.3">
      <c r="A3" s="1001"/>
      <c r="B3" s="1370" t="s">
        <v>1046</v>
      </c>
      <c r="C3" s="1370"/>
      <c r="D3" s="1370" t="s">
        <v>1049</v>
      </c>
      <c r="E3" s="1370"/>
      <c r="F3" s="1001"/>
      <c r="G3" s="1003"/>
      <c r="H3" s="1000"/>
      <c r="I3" s="1000"/>
      <c r="J3" s="1005"/>
      <c r="K3" s="1005"/>
      <c r="L3" s="1004"/>
      <c r="M3" s="1004"/>
      <c r="N3" s="1001"/>
      <c r="O3" s="1001"/>
      <c r="P3" s="1000"/>
      <c r="Q3" s="1000"/>
    </row>
    <row r="4" spans="1:17" ht="18.75" x14ac:dyDescent="0.3">
      <c r="A4" s="1001"/>
      <c r="B4" s="1370" t="s">
        <v>1047</v>
      </c>
      <c r="C4" s="1370"/>
      <c r="D4" s="1370" t="s">
        <v>1050</v>
      </c>
      <c r="E4" s="1370"/>
      <c r="F4" s="1001"/>
      <c r="G4" s="1003"/>
      <c r="H4" s="1000"/>
      <c r="I4" s="1000"/>
      <c r="J4" s="1005"/>
      <c r="K4" s="1005"/>
      <c r="L4" s="1001"/>
      <c r="M4" s="1001"/>
      <c r="N4" s="1001"/>
      <c r="O4" s="1001"/>
      <c r="P4" s="1000"/>
      <c r="Q4" s="1000"/>
    </row>
    <row r="5" spans="1:17" ht="18.75" customHeight="1" x14ac:dyDescent="0.3">
      <c r="A5" s="1001"/>
      <c r="B5" s="1370" t="s">
        <v>1048</v>
      </c>
      <c r="C5" s="1370"/>
      <c r="D5" s="1370" t="s">
        <v>1051</v>
      </c>
      <c r="E5" s="1370"/>
      <c r="F5" s="1001"/>
      <c r="G5" s="1003"/>
      <c r="H5" s="1000"/>
      <c r="I5" s="1000"/>
      <c r="J5" s="1001"/>
      <c r="K5" s="1001"/>
      <c r="L5" s="1001"/>
      <c r="M5" s="1001"/>
      <c r="N5" s="1001"/>
      <c r="O5" s="1001"/>
      <c r="P5" s="1000"/>
      <c r="Q5" s="1000"/>
    </row>
    <row r="6" spans="1:17" ht="12" customHeight="1" x14ac:dyDescent="0.25">
      <c r="A6" s="1006"/>
      <c r="B6" s="1006"/>
      <c r="C6" s="1006"/>
      <c r="D6" s="1006"/>
      <c r="E6" s="1003"/>
      <c r="F6" s="1003"/>
      <c r="G6" s="1003"/>
      <c r="H6" s="1000"/>
      <c r="I6" s="1000"/>
      <c r="J6" s="1000"/>
      <c r="K6" s="1000"/>
      <c r="L6" s="1007"/>
      <c r="M6" s="1007"/>
      <c r="N6" s="1007"/>
      <c r="O6" s="1007"/>
      <c r="P6" s="1000"/>
      <c r="Q6" s="1000"/>
    </row>
    <row r="7" spans="1:17" ht="12" customHeight="1" x14ac:dyDescent="0.25">
      <c r="A7" s="607"/>
      <c r="B7" s="607"/>
      <c r="C7" s="607"/>
      <c r="D7" s="607"/>
      <c r="E7" s="607"/>
      <c r="F7" s="607"/>
      <c r="G7" s="607"/>
      <c r="H7" s="607"/>
      <c r="I7" s="607"/>
      <c r="J7" s="607"/>
      <c r="K7" s="607"/>
      <c r="L7" s="607"/>
      <c r="M7" s="607"/>
      <c r="N7" s="607"/>
      <c r="O7" s="608"/>
      <c r="P7" s="607"/>
      <c r="Q7" s="607"/>
    </row>
    <row r="8" spans="1:17" ht="33" customHeight="1" x14ac:dyDescent="0.25">
      <c r="A8" s="607"/>
      <c r="B8" s="1373" t="s">
        <v>2564</v>
      </c>
      <c r="C8" s="1373"/>
      <c r="D8" s="1373"/>
      <c r="E8" s="1373"/>
      <c r="F8" s="1373"/>
      <c r="G8" s="1373"/>
      <c r="H8" s="1373"/>
      <c r="I8" s="1373"/>
      <c r="J8" s="1373"/>
      <c r="K8" s="1373"/>
      <c r="L8" s="1373"/>
      <c r="M8" s="1373"/>
      <c r="N8" s="1373"/>
      <c r="O8" s="1373"/>
      <c r="P8" s="1373"/>
      <c r="Q8" s="607"/>
    </row>
    <row r="9" spans="1:17" ht="9" customHeight="1" x14ac:dyDescent="0.25">
      <c r="A9" s="607"/>
      <c r="B9" s="609"/>
      <c r="C9" s="609"/>
      <c r="D9" s="609"/>
      <c r="E9" s="609"/>
      <c r="F9" s="609"/>
      <c r="G9" s="609"/>
      <c r="H9" s="609"/>
      <c r="I9" s="609"/>
      <c r="J9" s="609"/>
      <c r="K9" s="609"/>
      <c r="L9" s="609"/>
      <c r="M9" s="609"/>
      <c r="N9" s="609"/>
      <c r="O9" s="609"/>
      <c r="P9" s="609"/>
      <c r="Q9" s="607"/>
    </row>
    <row r="10" spans="1:17" ht="21" customHeight="1" x14ac:dyDescent="0.25">
      <c r="A10" s="607"/>
      <c r="B10" s="1351" t="s">
        <v>2336</v>
      </c>
      <c r="C10" s="1351"/>
      <c r="D10" s="1351"/>
      <c r="E10" s="1351"/>
      <c r="F10" s="1351"/>
      <c r="G10" s="1351"/>
      <c r="H10" s="1351"/>
      <c r="I10" s="610"/>
      <c r="J10" s="610"/>
      <c r="K10" s="610"/>
      <c r="L10" s="610"/>
      <c r="M10" s="610"/>
      <c r="N10" s="610"/>
      <c r="O10" s="610"/>
      <c r="P10" s="610"/>
      <c r="Q10" s="607"/>
    </row>
    <row r="11" spans="1:17" ht="7.5" customHeight="1" x14ac:dyDescent="0.25">
      <c r="A11" s="607"/>
      <c r="B11" s="611"/>
      <c r="C11" s="611"/>
      <c r="D11" s="611"/>
      <c r="E11" s="611"/>
      <c r="F11" s="610"/>
      <c r="G11" s="610"/>
      <c r="H11" s="610"/>
      <c r="I11" s="610"/>
      <c r="J11" s="610"/>
      <c r="K11" s="610"/>
      <c r="L11" s="610"/>
      <c r="M11" s="610"/>
      <c r="N11" s="610"/>
      <c r="O11" s="610"/>
      <c r="P11" s="610"/>
      <c r="Q11" s="607"/>
    </row>
    <row r="12" spans="1:17" ht="19.5" customHeight="1" x14ac:dyDescent="0.25">
      <c r="A12" s="607"/>
      <c r="B12" s="1232" t="s">
        <v>2002</v>
      </c>
      <c r="C12" s="1034"/>
      <c r="D12" s="1034"/>
      <c r="E12" s="1034"/>
      <c r="F12" s="610"/>
      <c r="G12" s="610"/>
      <c r="H12" s="610"/>
      <c r="I12" s="610"/>
      <c r="J12" s="610"/>
      <c r="K12" s="610"/>
      <c r="L12" s="610"/>
      <c r="M12" s="610"/>
      <c r="N12" s="610"/>
      <c r="O12" s="610"/>
      <c r="P12" s="610"/>
      <c r="Q12" s="607"/>
    </row>
    <row r="13" spans="1:17" x14ac:dyDescent="0.25">
      <c r="A13" s="607"/>
      <c r="B13" s="1362" t="s">
        <v>2337</v>
      </c>
      <c r="C13" s="1362"/>
      <c r="D13" s="1362"/>
      <c r="E13" s="1362"/>
      <c r="F13" s="1362"/>
      <c r="G13" s="1362"/>
      <c r="H13" s="1362"/>
      <c r="I13" s="1362"/>
      <c r="J13" s="1362"/>
      <c r="K13" s="1362"/>
      <c r="L13" s="1362"/>
      <c r="M13" s="1362"/>
      <c r="N13" s="1362"/>
      <c r="O13" s="1362"/>
      <c r="P13" s="1362"/>
      <c r="Q13" s="607"/>
    </row>
    <row r="14" spans="1:17" x14ac:dyDescent="0.25">
      <c r="A14" s="607"/>
      <c r="B14" s="1362"/>
      <c r="C14" s="1362"/>
      <c r="D14" s="1362"/>
      <c r="E14" s="1362"/>
      <c r="F14" s="1362"/>
      <c r="G14" s="1362"/>
      <c r="H14" s="1362"/>
      <c r="I14" s="1362"/>
      <c r="J14" s="1362"/>
      <c r="K14" s="1362"/>
      <c r="L14" s="1362"/>
      <c r="M14" s="1362"/>
      <c r="N14" s="1362"/>
      <c r="O14" s="1362"/>
      <c r="P14" s="1362"/>
      <c r="Q14" s="607"/>
    </row>
    <row r="15" spans="1:17" ht="24" customHeight="1" x14ac:dyDescent="0.25">
      <c r="A15" s="607"/>
      <c r="B15" s="1359" t="s">
        <v>2001</v>
      </c>
      <c r="C15" s="1359"/>
      <c r="D15" s="1359"/>
      <c r="E15" s="1359"/>
      <c r="F15" s="1359"/>
      <c r="G15" s="1359"/>
      <c r="H15" s="1359"/>
      <c r="I15" s="1359"/>
      <c r="J15" s="1359"/>
      <c r="K15" s="1359"/>
      <c r="L15" s="1359"/>
      <c r="M15" s="1359"/>
      <c r="N15" s="1359"/>
      <c r="O15" s="1359"/>
      <c r="P15" s="1359"/>
      <c r="Q15" s="607"/>
    </row>
    <row r="16" spans="1:17" ht="24" customHeight="1" x14ac:dyDescent="0.25">
      <c r="A16" s="607"/>
      <c r="B16" s="1359"/>
      <c r="C16" s="1359"/>
      <c r="D16" s="1359"/>
      <c r="E16" s="1359"/>
      <c r="F16" s="1359"/>
      <c r="G16" s="1359"/>
      <c r="H16" s="1359"/>
      <c r="I16" s="1359"/>
      <c r="J16" s="1359"/>
      <c r="K16" s="1359"/>
      <c r="L16" s="1359"/>
      <c r="M16" s="1359"/>
      <c r="N16" s="1359"/>
      <c r="O16" s="1359"/>
      <c r="P16" s="1359"/>
      <c r="Q16" s="607"/>
    </row>
    <row r="17" spans="1:17" ht="24" customHeight="1" x14ac:dyDescent="0.25">
      <c r="A17" s="607"/>
      <c r="B17" s="1359"/>
      <c r="C17" s="1359"/>
      <c r="D17" s="1359"/>
      <c r="E17" s="1359"/>
      <c r="F17" s="1359"/>
      <c r="G17" s="1359"/>
      <c r="H17" s="1359"/>
      <c r="I17" s="1359"/>
      <c r="J17" s="1359"/>
      <c r="K17" s="1359"/>
      <c r="L17" s="1359"/>
      <c r="M17" s="1359"/>
      <c r="N17" s="1359"/>
      <c r="O17" s="1359"/>
      <c r="P17" s="1359"/>
      <c r="Q17" s="607"/>
    </row>
    <row r="18" spans="1:17" ht="24" customHeight="1" x14ac:dyDescent="0.25">
      <c r="A18" s="607"/>
      <c r="B18" s="1359"/>
      <c r="C18" s="1359"/>
      <c r="D18" s="1359"/>
      <c r="E18" s="1359"/>
      <c r="F18" s="1359"/>
      <c r="G18" s="1359"/>
      <c r="H18" s="1359"/>
      <c r="I18" s="1359"/>
      <c r="J18" s="1359"/>
      <c r="K18" s="1359"/>
      <c r="L18" s="1359"/>
      <c r="M18" s="1359"/>
      <c r="N18" s="1359"/>
      <c r="O18" s="1359"/>
      <c r="P18" s="1359"/>
      <c r="Q18" s="607"/>
    </row>
    <row r="19" spans="1:17" ht="24" customHeight="1" x14ac:dyDescent="0.25">
      <c r="A19" s="607"/>
      <c r="B19" s="1359"/>
      <c r="C19" s="1359"/>
      <c r="D19" s="1359"/>
      <c r="E19" s="1359"/>
      <c r="F19" s="1359"/>
      <c r="G19" s="1359"/>
      <c r="H19" s="1359"/>
      <c r="I19" s="1359"/>
      <c r="J19" s="1359"/>
      <c r="K19" s="1359"/>
      <c r="L19" s="1359"/>
      <c r="M19" s="1359"/>
      <c r="N19" s="1359"/>
      <c r="O19" s="1359"/>
      <c r="P19" s="1359"/>
      <c r="Q19" s="607"/>
    </row>
    <row r="20" spans="1:17" ht="12" customHeight="1" x14ac:dyDescent="0.25">
      <c r="A20" s="607"/>
      <c r="B20" s="1033"/>
      <c r="C20" s="1033"/>
      <c r="D20" s="1033"/>
      <c r="E20" s="1033"/>
      <c r="F20" s="1033"/>
      <c r="G20" s="1033"/>
      <c r="H20" s="1033"/>
      <c r="I20" s="1033"/>
      <c r="J20" s="1033"/>
      <c r="K20" s="1033"/>
      <c r="L20" s="1033"/>
      <c r="M20" s="1033"/>
      <c r="N20" s="1033"/>
      <c r="O20" s="1033"/>
      <c r="P20" s="1033"/>
      <c r="Q20" s="607"/>
    </row>
    <row r="21" spans="1:17" ht="19.5" customHeight="1" x14ac:dyDescent="0.25">
      <c r="A21" s="607"/>
      <c r="B21" s="1232" t="s">
        <v>2003</v>
      </c>
      <c r="C21" s="1033"/>
      <c r="D21" s="1033"/>
      <c r="E21" s="1033"/>
      <c r="F21" s="1033"/>
      <c r="G21" s="1033"/>
      <c r="H21" s="1033"/>
      <c r="I21" s="1033"/>
      <c r="J21" s="1033"/>
      <c r="K21" s="1033"/>
      <c r="L21" s="1033"/>
      <c r="M21" s="1033"/>
      <c r="N21" s="1033"/>
      <c r="O21" s="1033"/>
      <c r="P21" s="1033"/>
      <c r="Q21" s="607"/>
    </row>
    <row r="22" spans="1:17" ht="16.5" customHeight="1" x14ac:dyDescent="0.25">
      <c r="A22" s="607"/>
      <c r="B22" s="1009" t="s">
        <v>2004</v>
      </c>
      <c r="C22" s="1033"/>
      <c r="D22" s="1033"/>
      <c r="E22" s="1033"/>
      <c r="F22" s="1033"/>
      <c r="G22" s="1033"/>
      <c r="H22" s="1033"/>
      <c r="I22" s="1033"/>
      <c r="J22" s="1033"/>
      <c r="K22" s="1033"/>
      <c r="L22" s="1033"/>
      <c r="M22" s="1033"/>
      <c r="N22" s="1033"/>
      <c r="O22" s="1033"/>
      <c r="P22" s="1033"/>
      <c r="Q22" s="607"/>
    </row>
    <row r="23" spans="1:17" ht="30.75" customHeight="1" x14ac:dyDescent="0.25">
      <c r="A23" s="607"/>
      <c r="B23" s="1352" t="s">
        <v>2338</v>
      </c>
      <c r="C23" s="1352"/>
      <c r="D23" s="1352"/>
      <c r="E23" s="1352"/>
      <c r="F23" s="1352"/>
      <c r="G23" s="1352"/>
      <c r="H23" s="1352"/>
      <c r="I23" s="1352"/>
      <c r="J23" s="1352"/>
      <c r="K23" s="1352"/>
      <c r="L23" s="1352"/>
      <c r="M23" s="1352"/>
      <c r="N23" s="1352"/>
      <c r="O23" s="1352"/>
      <c r="P23" s="1352"/>
      <c r="Q23" s="607"/>
    </row>
    <row r="24" spans="1:17" ht="6" customHeight="1" x14ac:dyDescent="0.25">
      <c r="A24" s="607"/>
      <c r="B24" s="1009"/>
      <c r="C24" s="1033"/>
      <c r="D24" s="1033"/>
      <c r="E24" s="1033"/>
      <c r="F24" s="1033"/>
      <c r="G24" s="1033"/>
      <c r="H24" s="1033"/>
      <c r="I24" s="1033"/>
      <c r="J24" s="1033"/>
      <c r="K24" s="1033"/>
      <c r="L24" s="1033"/>
      <c r="M24" s="1033"/>
      <c r="N24" s="1033"/>
      <c r="O24" s="1033"/>
      <c r="P24" s="1033"/>
      <c r="Q24" s="607"/>
    </row>
    <row r="25" spans="1:17" ht="16.5" customHeight="1" x14ac:dyDescent="0.25">
      <c r="A25" s="607"/>
      <c r="B25" s="1009" t="s">
        <v>2005</v>
      </c>
      <c r="C25" s="1033"/>
      <c r="D25" s="1033"/>
      <c r="E25" s="1033"/>
      <c r="F25" s="1033"/>
      <c r="G25" s="1033"/>
      <c r="H25" s="1033"/>
      <c r="I25" s="1033"/>
      <c r="J25" s="1033"/>
      <c r="K25" s="1033"/>
      <c r="L25" s="1033"/>
      <c r="M25" s="1033"/>
      <c r="N25" s="1033"/>
      <c r="O25" s="1033"/>
      <c r="P25" s="1033"/>
      <c r="Q25" s="607"/>
    </row>
    <row r="26" spans="1:17" ht="17.25" x14ac:dyDescent="0.25">
      <c r="A26" s="607"/>
      <c r="B26" s="1354" t="s">
        <v>2381</v>
      </c>
      <c r="C26" s="1354"/>
      <c r="D26" s="1354"/>
      <c r="E26" s="1354"/>
      <c r="F26" s="1354"/>
      <c r="G26" s="1354"/>
      <c r="H26" s="1354"/>
      <c r="I26" s="1354"/>
      <c r="J26" s="1354"/>
      <c r="K26" s="1354"/>
      <c r="L26" s="1354"/>
      <c r="M26" s="1354"/>
      <c r="N26" s="1354"/>
      <c r="O26" s="1354"/>
      <c r="P26" s="1354"/>
      <c r="Q26" s="607"/>
    </row>
    <row r="27" spans="1:17" ht="6" customHeight="1" x14ac:dyDescent="0.25">
      <c r="A27" s="607"/>
      <c r="B27" s="1009"/>
      <c r="C27" s="609"/>
      <c r="D27" s="609"/>
      <c r="E27" s="609"/>
      <c r="F27" s="609"/>
      <c r="G27" s="609"/>
      <c r="H27" s="609"/>
      <c r="I27" s="609"/>
      <c r="J27" s="609"/>
      <c r="K27" s="609"/>
      <c r="L27" s="609"/>
      <c r="M27" s="609"/>
      <c r="N27" s="609"/>
      <c r="O27" s="609"/>
      <c r="P27" s="609"/>
      <c r="Q27" s="607"/>
    </row>
    <row r="28" spans="1:17" ht="16.5" customHeight="1" x14ac:dyDescent="0.25">
      <c r="A28" s="607"/>
      <c r="B28" s="1009" t="s">
        <v>2006</v>
      </c>
      <c r="C28" s="1033"/>
      <c r="D28" s="1033"/>
      <c r="E28" s="1033"/>
      <c r="F28" s="1033"/>
      <c r="G28" s="1033"/>
      <c r="H28" s="1033"/>
      <c r="I28" s="1033"/>
      <c r="J28" s="1033"/>
      <c r="K28" s="1033"/>
      <c r="L28" s="1033"/>
      <c r="M28" s="1033"/>
      <c r="N28" s="1033"/>
      <c r="O28" s="1033"/>
      <c r="P28" s="1033"/>
      <c r="Q28" s="607"/>
    </row>
    <row r="29" spans="1:17" ht="63" customHeight="1" x14ac:dyDescent="0.25">
      <c r="A29" s="607"/>
      <c r="B29" s="1353" t="s">
        <v>2339</v>
      </c>
      <c r="C29" s="1354"/>
      <c r="D29" s="1354"/>
      <c r="E29" s="1354"/>
      <c r="F29" s="1354"/>
      <c r="G29" s="1354"/>
      <c r="H29" s="1354"/>
      <c r="I29" s="1354"/>
      <c r="J29" s="1354"/>
      <c r="K29" s="1354"/>
      <c r="L29" s="1354"/>
      <c r="M29" s="1354"/>
      <c r="N29" s="1354"/>
      <c r="O29" s="1354"/>
      <c r="P29" s="1354"/>
      <c r="Q29" s="607"/>
    </row>
    <row r="30" spans="1:17" ht="18" customHeight="1" x14ac:dyDescent="0.25">
      <c r="A30" s="607"/>
      <c r="B30" s="1109"/>
      <c r="C30" s="1109"/>
      <c r="D30" s="1109"/>
      <c r="E30" s="1109"/>
      <c r="F30" s="1109"/>
      <c r="G30" s="1109"/>
      <c r="H30" s="1109"/>
      <c r="I30" s="1109"/>
      <c r="J30" s="1109"/>
      <c r="K30" s="1109"/>
      <c r="L30" s="1109"/>
      <c r="M30" s="1109"/>
      <c r="N30" s="1109"/>
      <c r="O30" s="1109"/>
      <c r="P30" s="1109"/>
      <c r="Q30" s="607"/>
    </row>
    <row r="31" spans="1:17" ht="21" customHeight="1" x14ac:dyDescent="0.25">
      <c r="A31" s="607"/>
      <c r="B31" s="1366" t="s">
        <v>2340</v>
      </c>
      <c r="C31" s="1366"/>
      <c r="D31" s="1366"/>
      <c r="E31" s="1366"/>
      <c r="F31" s="1366"/>
      <c r="G31" s="1366"/>
      <c r="H31" s="609"/>
      <c r="I31" s="609"/>
      <c r="J31" s="609"/>
      <c r="K31" s="609"/>
      <c r="L31" s="609"/>
      <c r="M31" s="609"/>
      <c r="N31" s="609"/>
      <c r="O31" s="609"/>
      <c r="P31" s="609"/>
      <c r="Q31" s="607"/>
    </row>
    <row r="32" spans="1:17" ht="7.5" customHeight="1" x14ac:dyDescent="0.25">
      <c r="A32" s="607"/>
      <c r="B32" s="609"/>
      <c r="C32" s="609"/>
      <c r="D32" s="609"/>
      <c r="E32" s="609"/>
      <c r="F32" s="609"/>
      <c r="G32" s="609"/>
      <c r="H32" s="609"/>
      <c r="I32" s="609"/>
      <c r="J32" s="609"/>
      <c r="K32" s="609"/>
      <c r="L32" s="609"/>
      <c r="M32" s="609"/>
      <c r="N32" s="609"/>
      <c r="O32" s="609"/>
      <c r="P32" s="609"/>
      <c r="Q32" s="607"/>
    </row>
    <row r="33" spans="1:17" ht="18" customHeight="1" x14ac:dyDescent="0.25">
      <c r="A33" s="607"/>
      <c r="B33" s="1356" t="s">
        <v>2341</v>
      </c>
      <c r="C33" s="1357"/>
      <c r="D33" s="1357"/>
      <c r="E33" s="1357"/>
      <c r="F33" s="1357"/>
      <c r="G33" s="1357"/>
      <c r="H33" s="1357"/>
      <c r="I33" s="1357"/>
      <c r="J33" s="1357"/>
      <c r="K33" s="1357"/>
      <c r="L33" s="1357"/>
      <c r="M33" s="1357"/>
      <c r="N33" s="1357"/>
      <c r="O33" s="1357"/>
      <c r="P33" s="1357"/>
      <c r="Q33" s="607"/>
    </row>
    <row r="34" spans="1:17" ht="30" customHeight="1" x14ac:dyDescent="0.25">
      <c r="A34" s="607"/>
      <c r="B34" s="1360" t="s">
        <v>858</v>
      </c>
      <c r="C34" s="1360"/>
      <c r="D34" s="1360"/>
      <c r="E34" s="1360"/>
      <c r="F34" s="1360"/>
      <c r="G34" s="1360"/>
      <c r="H34" s="1360"/>
      <c r="I34" s="1360"/>
      <c r="J34" s="1360"/>
      <c r="K34" s="1360"/>
      <c r="L34" s="1360"/>
      <c r="M34" s="1360"/>
      <c r="N34" s="1360"/>
      <c r="O34" s="1360"/>
      <c r="P34" s="1360"/>
      <c r="Q34" s="607"/>
    </row>
    <row r="35" spans="1:17" ht="21" customHeight="1" x14ac:dyDescent="0.25">
      <c r="A35" s="607"/>
      <c r="B35" s="1358" t="s">
        <v>717</v>
      </c>
      <c r="C35" s="1358"/>
      <c r="D35" s="1358"/>
      <c r="E35" s="1358"/>
      <c r="F35" s="1358"/>
      <c r="G35" s="1358"/>
      <c r="H35" s="1358"/>
      <c r="I35" s="1358"/>
      <c r="J35" s="1358"/>
      <c r="K35" s="1358"/>
      <c r="L35" s="1358"/>
      <c r="M35" s="1358"/>
      <c r="N35" s="1358"/>
      <c r="O35" s="1358"/>
      <c r="P35" s="1358"/>
      <c r="Q35" s="607"/>
    </row>
    <row r="36" spans="1:17" ht="21" customHeight="1" x14ac:dyDescent="0.25">
      <c r="A36" s="607"/>
      <c r="B36" s="1358" t="s">
        <v>921</v>
      </c>
      <c r="C36" s="1358"/>
      <c r="D36" s="1358"/>
      <c r="E36" s="1358"/>
      <c r="F36" s="1358"/>
      <c r="G36" s="1358"/>
      <c r="H36" s="1358"/>
      <c r="I36" s="1358"/>
      <c r="J36" s="1358"/>
      <c r="K36" s="1358"/>
      <c r="L36" s="1358"/>
      <c r="M36" s="1358"/>
      <c r="N36" s="1358"/>
      <c r="O36" s="1358"/>
      <c r="P36" s="1358"/>
      <c r="Q36" s="607"/>
    </row>
    <row r="37" spans="1:17" ht="21" customHeight="1" x14ac:dyDescent="0.25">
      <c r="A37" s="607"/>
      <c r="B37" s="1358" t="s">
        <v>844</v>
      </c>
      <c r="C37" s="1358"/>
      <c r="D37" s="1358"/>
      <c r="E37" s="1358"/>
      <c r="F37" s="1358"/>
      <c r="G37" s="1358"/>
      <c r="H37" s="1358"/>
      <c r="I37" s="1358"/>
      <c r="J37" s="1358"/>
      <c r="K37" s="1358"/>
      <c r="L37" s="1358"/>
      <c r="M37" s="1358"/>
      <c r="N37" s="1358"/>
      <c r="O37" s="1358"/>
      <c r="P37" s="1358"/>
      <c r="Q37" s="607"/>
    </row>
    <row r="38" spans="1:17" ht="21" customHeight="1" x14ac:dyDescent="0.25">
      <c r="A38" s="607"/>
      <c r="B38" s="1358" t="s">
        <v>845</v>
      </c>
      <c r="C38" s="1358"/>
      <c r="D38" s="1358"/>
      <c r="E38" s="1358"/>
      <c r="F38" s="1358"/>
      <c r="G38" s="1358"/>
      <c r="H38" s="1358"/>
      <c r="I38" s="1358"/>
      <c r="J38" s="1358"/>
      <c r="K38" s="1358"/>
      <c r="L38" s="1358"/>
      <c r="M38" s="1358"/>
      <c r="N38" s="1358"/>
      <c r="O38" s="1358"/>
      <c r="P38" s="1358"/>
      <c r="Q38" s="607"/>
    </row>
    <row r="39" spans="1:17" ht="30" customHeight="1" x14ac:dyDescent="0.25">
      <c r="A39" s="607"/>
      <c r="B39" s="1358" t="s">
        <v>2565</v>
      </c>
      <c r="C39" s="1358"/>
      <c r="D39" s="1358"/>
      <c r="E39" s="1358"/>
      <c r="F39" s="1358"/>
      <c r="G39" s="1358"/>
      <c r="H39" s="1358"/>
      <c r="I39" s="1358"/>
      <c r="J39" s="1358"/>
      <c r="K39" s="1358"/>
      <c r="L39" s="1358"/>
      <c r="M39" s="1358"/>
      <c r="N39" s="1358"/>
      <c r="O39" s="1358"/>
      <c r="P39" s="1358"/>
      <c r="Q39" s="607"/>
    </row>
    <row r="40" spans="1:17" ht="30" customHeight="1" x14ac:dyDescent="0.25">
      <c r="A40" s="607"/>
      <c r="B40" s="1358" t="s">
        <v>846</v>
      </c>
      <c r="C40" s="1358"/>
      <c r="D40" s="1358"/>
      <c r="E40" s="1358"/>
      <c r="F40" s="1358"/>
      <c r="G40" s="1358"/>
      <c r="H40" s="1358"/>
      <c r="I40" s="1358"/>
      <c r="J40" s="1358"/>
      <c r="K40" s="1358"/>
      <c r="L40" s="1358"/>
      <c r="M40" s="1358"/>
      <c r="N40" s="1358"/>
      <c r="O40" s="1358"/>
      <c r="P40" s="1358"/>
      <c r="Q40" s="607"/>
    </row>
    <row r="41" spans="1:17" ht="12" customHeight="1" x14ac:dyDescent="0.25">
      <c r="A41" s="607"/>
      <c r="B41" s="609"/>
      <c r="C41" s="609"/>
      <c r="D41" s="609"/>
      <c r="E41" s="609"/>
      <c r="F41" s="609"/>
      <c r="G41" s="609"/>
      <c r="H41" s="609"/>
      <c r="I41" s="609"/>
      <c r="J41" s="609"/>
      <c r="K41" s="609"/>
      <c r="L41" s="609"/>
      <c r="M41" s="609"/>
      <c r="N41" s="609"/>
      <c r="O41" s="609"/>
      <c r="P41" s="609"/>
      <c r="Q41" s="607"/>
    </row>
    <row r="42" spans="1:17" ht="21" customHeight="1" x14ac:dyDescent="0.25">
      <c r="A42" s="607"/>
      <c r="B42" s="1351" t="s">
        <v>2342</v>
      </c>
      <c r="C42" s="1351"/>
      <c r="D42" s="1351"/>
      <c r="E42" s="1351"/>
      <c r="F42" s="609"/>
      <c r="G42" s="609"/>
      <c r="H42" s="609"/>
      <c r="I42" s="609"/>
      <c r="J42" s="609"/>
      <c r="K42" s="609"/>
      <c r="L42" s="609"/>
      <c r="M42" s="609"/>
      <c r="N42" s="609"/>
      <c r="O42" s="609"/>
      <c r="P42" s="609"/>
      <c r="Q42" s="607"/>
    </row>
    <row r="43" spans="1:17" ht="7.5" customHeight="1" x14ac:dyDescent="0.25">
      <c r="A43" s="607"/>
      <c r="B43" s="611"/>
      <c r="C43" s="611"/>
      <c r="D43" s="611"/>
      <c r="E43" s="611"/>
      <c r="F43" s="609"/>
      <c r="G43" s="609"/>
      <c r="H43" s="609"/>
      <c r="I43" s="609"/>
      <c r="J43" s="609"/>
      <c r="K43" s="609"/>
      <c r="L43" s="609"/>
      <c r="M43" s="609"/>
      <c r="N43" s="609"/>
      <c r="O43" s="609"/>
      <c r="P43" s="609"/>
      <c r="Q43" s="607"/>
    </row>
    <row r="44" spans="1:17" ht="65.25" customHeight="1" x14ac:dyDescent="0.25">
      <c r="A44" s="607"/>
      <c r="B44" s="1356" t="s">
        <v>2343</v>
      </c>
      <c r="C44" s="1357"/>
      <c r="D44" s="1357"/>
      <c r="E44" s="1357"/>
      <c r="F44" s="1357"/>
      <c r="G44" s="1357"/>
      <c r="H44" s="1357"/>
      <c r="I44" s="1357"/>
      <c r="J44" s="1357"/>
      <c r="K44" s="1357"/>
      <c r="L44" s="1357"/>
      <c r="M44" s="1357"/>
      <c r="N44" s="1357"/>
      <c r="O44" s="1357"/>
      <c r="P44" s="1357"/>
      <c r="Q44" s="607"/>
    </row>
    <row r="45" spans="1:17" ht="9" customHeight="1" x14ac:dyDescent="0.25">
      <c r="A45" s="607"/>
      <c r="B45" s="613"/>
      <c r="C45" s="614"/>
      <c r="D45" s="614"/>
      <c r="E45" s="614"/>
      <c r="F45" s="614"/>
      <c r="G45" s="614"/>
      <c r="H45" s="614"/>
      <c r="I45" s="614"/>
      <c r="J45" s="614"/>
      <c r="K45" s="614"/>
      <c r="L45" s="614"/>
      <c r="M45" s="614"/>
      <c r="N45" s="614"/>
      <c r="O45" s="614"/>
      <c r="P45" s="614"/>
      <c r="Q45" s="607"/>
    </row>
    <row r="46" spans="1:17" ht="19.5" customHeight="1" x14ac:dyDescent="0.25">
      <c r="A46" s="607"/>
      <c r="B46" s="1232" t="s">
        <v>225</v>
      </c>
      <c r="C46" s="611"/>
      <c r="D46" s="611"/>
      <c r="E46" s="611"/>
      <c r="F46" s="609"/>
      <c r="G46" s="609"/>
      <c r="H46" s="609"/>
      <c r="I46" s="609"/>
      <c r="J46" s="609"/>
      <c r="K46" s="609"/>
      <c r="L46" s="609"/>
      <c r="M46" s="609"/>
      <c r="N46" s="609"/>
      <c r="O46" s="609"/>
      <c r="P46" s="609"/>
      <c r="Q46" s="607"/>
    </row>
    <row r="47" spans="1:17" ht="48.75" customHeight="1" x14ac:dyDescent="0.25">
      <c r="A47" s="607"/>
      <c r="B47" s="1355" t="s">
        <v>2344</v>
      </c>
      <c r="C47" s="1355"/>
      <c r="D47" s="1355"/>
      <c r="E47" s="1355"/>
      <c r="F47" s="1355"/>
      <c r="G47" s="1355"/>
      <c r="H47" s="1355"/>
      <c r="I47" s="1355"/>
      <c r="J47" s="1355"/>
      <c r="K47" s="1355"/>
      <c r="L47" s="1355"/>
      <c r="M47" s="1355"/>
      <c r="N47" s="1355"/>
      <c r="O47" s="1355"/>
      <c r="P47" s="1355"/>
      <c r="Q47" s="607"/>
    </row>
    <row r="48" spans="1:17" ht="9" customHeight="1" x14ac:dyDescent="0.25">
      <c r="A48" s="607"/>
      <c r="B48" s="614"/>
      <c r="C48" s="614"/>
      <c r="D48" s="614"/>
      <c r="E48" s="614"/>
      <c r="F48" s="614"/>
      <c r="G48" s="614"/>
      <c r="H48" s="614"/>
      <c r="I48" s="614"/>
      <c r="J48" s="614"/>
      <c r="K48" s="614"/>
      <c r="L48" s="614"/>
      <c r="M48" s="614"/>
      <c r="N48" s="614"/>
      <c r="O48" s="614"/>
      <c r="P48" s="614"/>
      <c r="Q48" s="607"/>
    </row>
    <row r="49" spans="1:17" ht="19.5" customHeight="1" x14ac:dyDescent="0.25">
      <c r="A49" s="607"/>
      <c r="B49" s="1232" t="s">
        <v>226</v>
      </c>
      <c r="C49" s="611"/>
      <c r="D49" s="611"/>
      <c r="E49" s="611"/>
      <c r="F49" s="609"/>
      <c r="G49" s="609"/>
      <c r="H49" s="609"/>
      <c r="I49" s="609"/>
      <c r="J49" s="609"/>
      <c r="K49" s="609"/>
      <c r="L49" s="609"/>
      <c r="M49" s="609"/>
      <c r="N49" s="609"/>
      <c r="O49" s="609"/>
      <c r="P49" s="609"/>
      <c r="Q49" s="607"/>
    </row>
    <row r="50" spans="1:17" ht="33" customHeight="1" x14ac:dyDescent="0.25">
      <c r="A50" s="607"/>
      <c r="B50" s="1355" t="s">
        <v>847</v>
      </c>
      <c r="C50" s="1355"/>
      <c r="D50" s="1355"/>
      <c r="E50" s="1355"/>
      <c r="F50" s="1355"/>
      <c r="G50" s="1355"/>
      <c r="H50" s="1355"/>
      <c r="I50" s="1355"/>
      <c r="J50" s="1355"/>
      <c r="K50" s="1355"/>
      <c r="L50" s="1355"/>
      <c r="M50" s="1355"/>
      <c r="N50" s="1355"/>
      <c r="O50" s="1355"/>
      <c r="P50" s="1355"/>
      <c r="Q50" s="607"/>
    </row>
    <row r="51" spans="1:17" ht="9" customHeight="1" x14ac:dyDescent="0.25">
      <c r="A51" s="607"/>
      <c r="B51" s="614"/>
      <c r="C51" s="614"/>
      <c r="D51" s="614"/>
      <c r="E51" s="614"/>
      <c r="F51" s="614"/>
      <c r="G51" s="614"/>
      <c r="H51" s="614"/>
      <c r="I51" s="614"/>
      <c r="J51" s="614"/>
      <c r="K51" s="614"/>
      <c r="L51" s="614"/>
      <c r="M51" s="614"/>
      <c r="N51" s="614"/>
      <c r="O51" s="614"/>
      <c r="P51" s="614"/>
      <c r="Q51" s="607"/>
    </row>
    <row r="52" spans="1:17" ht="19.5" customHeight="1" x14ac:dyDescent="0.25">
      <c r="A52" s="607"/>
      <c r="B52" s="1232" t="s">
        <v>227</v>
      </c>
      <c r="C52" s="611"/>
      <c r="D52" s="611"/>
      <c r="E52" s="611"/>
      <c r="F52" s="609"/>
      <c r="G52" s="609"/>
      <c r="H52" s="609"/>
      <c r="I52" s="609"/>
      <c r="J52" s="609"/>
      <c r="K52" s="609"/>
      <c r="L52" s="609"/>
      <c r="M52" s="609"/>
      <c r="N52" s="609"/>
      <c r="O52" s="609"/>
      <c r="P52" s="609"/>
      <c r="Q52" s="607"/>
    </row>
    <row r="53" spans="1:17" ht="43.5" customHeight="1" x14ac:dyDescent="0.25">
      <c r="A53" s="607"/>
      <c r="B53" s="1355" t="s">
        <v>2345</v>
      </c>
      <c r="C53" s="1355"/>
      <c r="D53" s="1355"/>
      <c r="E53" s="1355"/>
      <c r="F53" s="1355"/>
      <c r="G53" s="1355"/>
      <c r="H53" s="1355"/>
      <c r="I53" s="1355"/>
      <c r="J53" s="1355"/>
      <c r="K53" s="1355"/>
      <c r="L53" s="1355"/>
      <c r="M53" s="1355"/>
      <c r="N53" s="1355"/>
      <c r="O53" s="1355"/>
      <c r="P53" s="1355"/>
      <c r="Q53" s="607"/>
    </row>
    <row r="54" spans="1:17" ht="15" customHeight="1" x14ac:dyDescent="0.25">
      <c r="A54" s="607"/>
      <c r="B54" s="611"/>
      <c r="C54" s="611"/>
      <c r="D54" s="611"/>
      <c r="E54" s="611"/>
      <c r="F54" s="609"/>
      <c r="G54" s="609"/>
      <c r="H54" s="609"/>
      <c r="I54" s="609"/>
      <c r="J54" s="609"/>
      <c r="K54" s="609"/>
      <c r="L54" s="609"/>
      <c r="M54" s="609"/>
      <c r="N54" s="609"/>
      <c r="O54" s="609"/>
      <c r="P54" s="609"/>
      <c r="Q54" s="607"/>
    </row>
    <row r="55" spans="1:17" ht="21" customHeight="1" x14ac:dyDescent="0.25">
      <c r="A55" s="607"/>
      <c r="B55" s="1361" t="s">
        <v>2346</v>
      </c>
      <c r="C55" s="1361"/>
      <c r="D55" s="1361"/>
      <c r="E55" s="1361"/>
      <c r="F55" s="1361"/>
      <c r="G55" s="1361"/>
      <c r="H55" s="609"/>
      <c r="I55" s="609"/>
      <c r="J55" s="609"/>
      <c r="K55" s="609"/>
      <c r="L55" s="609"/>
      <c r="M55" s="609"/>
      <c r="N55" s="609"/>
      <c r="O55" s="609"/>
      <c r="P55" s="609"/>
      <c r="Q55" s="607"/>
    </row>
    <row r="56" spans="1:17" ht="7.5" customHeight="1" x14ac:dyDescent="0.25">
      <c r="A56" s="607"/>
      <c r="B56" s="609"/>
      <c r="C56" s="609"/>
      <c r="D56" s="609"/>
      <c r="E56" s="609"/>
      <c r="F56" s="609"/>
      <c r="G56" s="609"/>
      <c r="H56" s="609"/>
      <c r="I56" s="609"/>
      <c r="J56" s="609"/>
      <c r="K56" s="609"/>
      <c r="L56" s="609"/>
      <c r="M56" s="609"/>
      <c r="N56" s="609"/>
      <c r="O56" s="609"/>
      <c r="P56" s="609"/>
      <c r="Q56" s="607"/>
    </row>
    <row r="57" spans="1:17" ht="16.5" customHeight="1" x14ac:dyDescent="0.25">
      <c r="A57" s="607"/>
      <c r="B57" s="1363" t="s">
        <v>2347</v>
      </c>
      <c r="C57" s="1363"/>
      <c r="D57" s="1363"/>
      <c r="E57" s="1363"/>
      <c r="F57" s="1363"/>
      <c r="G57" s="1363"/>
      <c r="H57" s="1363"/>
      <c r="I57" s="1363"/>
      <c r="J57" s="1363"/>
      <c r="K57" s="1363"/>
      <c r="L57" s="1363"/>
      <c r="M57" s="1363"/>
      <c r="N57" s="1363"/>
      <c r="O57" s="1363"/>
      <c r="P57" s="1363"/>
      <c r="Q57" s="607"/>
    </row>
    <row r="58" spans="1:17" ht="30.75" customHeight="1" x14ac:dyDescent="0.25">
      <c r="A58" s="607"/>
      <c r="B58" s="1363" t="s">
        <v>2319</v>
      </c>
      <c r="C58" s="1363"/>
      <c r="D58" s="1363"/>
      <c r="E58" s="1363"/>
      <c r="F58" s="1363"/>
      <c r="G58" s="1363"/>
      <c r="H58" s="1363"/>
      <c r="I58" s="1363"/>
      <c r="J58" s="1363"/>
      <c r="K58" s="1363"/>
      <c r="L58" s="1363"/>
      <c r="M58" s="1363"/>
      <c r="N58" s="1363"/>
      <c r="O58" s="1363"/>
      <c r="P58" s="1363"/>
      <c r="Q58" s="607"/>
    </row>
    <row r="59" spans="1:17" ht="13.5" customHeight="1" x14ac:dyDescent="0.25">
      <c r="A59" s="607"/>
      <c r="B59" s="609"/>
      <c r="C59" s="609"/>
      <c r="D59" s="609"/>
      <c r="E59" s="609"/>
      <c r="F59" s="609"/>
      <c r="G59" s="609"/>
      <c r="H59" s="609"/>
      <c r="I59" s="609"/>
      <c r="J59" s="609"/>
      <c r="K59" s="609"/>
      <c r="L59" s="609"/>
      <c r="M59" s="609"/>
      <c r="N59" s="609"/>
      <c r="O59" s="609"/>
      <c r="P59" s="609"/>
      <c r="Q59" s="607"/>
    </row>
    <row r="60" spans="1:17" ht="15" customHeight="1" x14ac:dyDescent="0.25">
      <c r="A60" s="607"/>
      <c r="B60" s="609"/>
      <c r="C60" s="609"/>
      <c r="D60" s="609"/>
      <c r="E60" s="609"/>
      <c r="F60" s="609"/>
      <c r="G60" s="609"/>
      <c r="H60" s="609"/>
      <c r="I60" s="609"/>
      <c r="J60" s="609"/>
      <c r="K60" s="609"/>
      <c r="L60" s="609"/>
      <c r="M60" s="609"/>
      <c r="N60" s="609"/>
      <c r="O60" s="609"/>
      <c r="P60" s="609"/>
      <c r="Q60" s="607"/>
    </row>
    <row r="61" spans="1:17" ht="15" customHeight="1" x14ac:dyDescent="0.25">
      <c r="A61" s="607"/>
      <c r="B61" s="609"/>
      <c r="C61" s="609"/>
      <c r="D61" s="609"/>
      <c r="E61" s="609"/>
      <c r="F61" s="609"/>
      <c r="G61" s="609"/>
      <c r="H61" s="609"/>
      <c r="I61" s="609"/>
      <c r="J61" s="609"/>
      <c r="K61" s="609"/>
      <c r="L61" s="609"/>
      <c r="M61" s="609"/>
      <c r="N61" s="609"/>
      <c r="O61" s="609"/>
      <c r="P61" s="609"/>
      <c r="Q61" s="607"/>
    </row>
    <row r="62" spans="1:17" ht="11.25" customHeight="1" x14ac:dyDescent="0.25">
      <c r="A62" s="607"/>
      <c r="B62" s="609"/>
      <c r="C62" s="609"/>
      <c r="D62" s="609"/>
      <c r="E62" s="609"/>
      <c r="F62" s="609"/>
      <c r="G62" s="609"/>
      <c r="H62" s="609"/>
      <c r="I62" s="609"/>
      <c r="J62" s="609"/>
      <c r="K62" s="609"/>
      <c r="L62" s="609"/>
      <c r="M62" s="609"/>
      <c r="N62" s="609"/>
      <c r="O62" s="609"/>
      <c r="P62" s="609"/>
      <c r="Q62" s="607"/>
    </row>
    <row r="63" spans="1:17" ht="15" customHeight="1" x14ac:dyDescent="0.25">
      <c r="A63" s="607"/>
      <c r="B63" s="612" t="s">
        <v>891</v>
      </c>
      <c r="C63" s="609"/>
      <c r="D63" s="609"/>
      <c r="E63" s="609"/>
      <c r="F63" s="609"/>
      <c r="G63" s="609"/>
      <c r="H63" s="609"/>
      <c r="I63" s="609"/>
      <c r="J63" s="609"/>
      <c r="K63" s="609"/>
      <c r="L63" s="609"/>
      <c r="M63" s="609"/>
      <c r="N63" s="609"/>
      <c r="O63" s="609"/>
      <c r="P63" s="609"/>
      <c r="Q63" s="607"/>
    </row>
    <row r="64" spans="1:17" ht="15" customHeight="1" x14ac:dyDescent="0.25">
      <c r="A64" s="607"/>
      <c r="B64" s="609"/>
      <c r="C64" s="609"/>
      <c r="D64" s="609"/>
      <c r="E64" s="609"/>
      <c r="F64" s="609"/>
      <c r="G64" s="609"/>
      <c r="H64" s="609"/>
      <c r="I64" s="609"/>
      <c r="J64" s="609"/>
      <c r="K64" s="609"/>
      <c r="L64" s="609"/>
      <c r="M64" s="609"/>
      <c r="N64" s="609"/>
      <c r="O64" s="609"/>
      <c r="P64" s="609"/>
      <c r="Q64" s="607"/>
    </row>
    <row r="65" spans="1:17" ht="15" customHeight="1" x14ac:dyDescent="0.25">
      <c r="A65" s="607"/>
      <c r="B65" s="609"/>
      <c r="C65" s="609"/>
      <c r="D65" s="609"/>
      <c r="E65" s="609"/>
      <c r="F65" s="609"/>
      <c r="G65" s="609"/>
      <c r="H65" s="609"/>
      <c r="I65" s="609"/>
      <c r="J65" s="609"/>
      <c r="K65" s="609"/>
      <c r="L65" s="609"/>
      <c r="M65" s="609"/>
      <c r="N65" s="609"/>
      <c r="O65" s="609"/>
      <c r="P65" s="609"/>
      <c r="Q65" s="607"/>
    </row>
    <row r="66" spans="1:17" ht="15" customHeight="1" x14ac:dyDescent="0.25">
      <c r="A66" s="607"/>
      <c r="B66" s="609"/>
      <c r="C66" s="609"/>
      <c r="D66" s="609"/>
      <c r="E66" s="609"/>
      <c r="F66" s="609"/>
      <c r="G66" s="609"/>
      <c r="H66" s="609"/>
      <c r="I66" s="609"/>
      <c r="J66" s="609"/>
      <c r="K66" s="609"/>
      <c r="L66" s="609"/>
      <c r="M66" s="609"/>
      <c r="N66" s="609"/>
      <c r="O66" s="609"/>
      <c r="P66" s="609"/>
      <c r="Q66" s="607"/>
    </row>
    <row r="67" spans="1:17" ht="15" customHeight="1" x14ac:dyDescent="0.25">
      <c r="A67" s="607"/>
      <c r="B67" s="937"/>
      <c r="C67" s="937"/>
      <c r="D67" s="937"/>
      <c r="E67" s="937"/>
      <c r="F67" s="937"/>
      <c r="G67" s="937"/>
      <c r="H67" s="937"/>
      <c r="I67" s="937"/>
      <c r="J67" s="937"/>
      <c r="K67" s="937"/>
      <c r="L67" s="937"/>
      <c r="M67" s="937"/>
      <c r="N67" s="937"/>
      <c r="O67" s="937"/>
      <c r="P67" s="937"/>
      <c r="Q67" s="607"/>
    </row>
    <row r="68" spans="1:17" ht="15" customHeight="1" x14ac:dyDescent="0.25">
      <c r="A68" s="607"/>
      <c r="B68" s="937"/>
      <c r="C68" s="937"/>
      <c r="D68" s="937"/>
      <c r="E68" s="937"/>
      <c r="F68" s="937"/>
      <c r="G68" s="937"/>
      <c r="H68" s="937"/>
      <c r="I68" s="937"/>
      <c r="J68" s="937"/>
      <c r="K68" s="937"/>
      <c r="L68" s="937"/>
      <c r="M68" s="937"/>
      <c r="N68" s="937"/>
      <c r="O68" s="937"/>
      <c r="P68" s="937"/>
      <c r="Q68" s="607"/>
    </row>
    <row r="69" spans="1:17" ht="15" customHeight="1" x14ac:dyDescent="0.25">
      <c r="A69" s="607"/>
      <c r="B69" s="937"/>
      <c r="C69" s="937"/>
      <c r="D69" s="937"/>
      <c r="E69" s="937"/>
      <c r="F69" s="937"/>
      <c r="G69" s="937"/>
      <c r="H69" s="937"/>
      <c r="I69" s="937"/>
      <c r="J69" s="937"/>
      <c r="K69" s="937"/>
      <c r="L69" s="937"/>
      <c r="M69" s="937"/>
      <c r="N69" s="937"/>
      <c r="O69" s="937"/>
      <c r="P69" s="937"/>
      <c r="Q69" s="607"/>
    </row>
    <row r="70" spans="1:17" ht="15" customHeight="1" x14ac:dyDescent="0.25">
      <c r="A70" s="607"/>
      <c r="B70" s="937"/>
      <c r="C70" s="937"/>
      <c r="D70" s="937"/>
      <c r="E70" s="937"/>
      <c r="F70" s="937"/>
      <c r="G70" s="937"/>
      <c r="H70" s="937"/>
      <c r="I70" s="937"/>
      <c r="J70" s="937"/>
      <c r="K70" s="937"/>
      <c r="L70" s="937"/>
      <c r="M70" s="937"/>
      <c r="N70" s="937"/>
      <c r="O70" s="937"/>
      <c r="P70" s="937"/>
      <c r="Q70" s="607"/>
    </row>
    <row r="71" spans="1:17" ht="15" customHeight="1" x14ac:dyDescent="0.25">
      <c r="A71" s="607"/>
      <c r="B71" s="937"/>
      <c r="C71" s="937"/>
      <c r="D71" s="937"/>
      <c r="E71" s="937"/>
      <c r="F71" s="937"/>
      <c r="G71" s="937"/>
      <c r="H71" s="937"/>
      <c r="I71" s="937"/>
      <c r="J71" s="937"/>
      <c r="K71" s="937"/>
      <c r="L71" s="937"/>
      <c r="M71" s="937"/>
      <c r="N71" s="937"/>
      <c r="O71" s="937"/>
      <c r="P71" s="937"/>
      <c r="Q71" s="607"/>
    </row>
    <row r="72" spans="1:17" ht="15" customHeight="1" x14ac:dyDescent="0.25">
      <c r="A72" s="607"/>
      <c r="B72" s="937"/>
      <c r="C72" s="937"/>
      <c r="D72" s="937"/>
      <c r="E72" s="937"/>
      <c r="F72" s="937"/>
      <c r="G72" s="937"/>
      <c r="H72" s="937"/>
      <c r="I72" s="937"/>
      <c r="J72" s="937"/>
      <c r="K72" s="937"/>
      <c r="L72" s="937"/>
      <c r="M72" s="937"/>
      <c r="N72" s="937"/>
      <c r="O72" s="937"/>
      <c r="P72" s="937"/>
      <c r="Q72" s="607"/>
    </row>
    <row r="73" spans="1:17" ht="12" customHeight="1" x14ac:dyDescent="0.25">
      <c r="A73" s="607"/>
      <c r="B73" s="609"/>
      <c r="C73" s="609"/>
      <c r="D73" s="609"/>
      <c r="E73" s="609"/>
      <c r="F73" s="609"/>
      <c r="G73" s="609"/>
      <c r="H73" s="609"/>
      <c r="I73" s="609"/>
      <c r="J73" s="609"/>
      <c r="K73" s="609"/>
      <c r="L73" s="609"/>
      <c r="M73" s="609"/>
      <c r="N73" s="609"/>
      <c r="O73" s="609"/>
      <c r="P73" s="609"/>
      <c r="Q73" s="607"/>
    </row>
    <row r="74" spans="1:17" ht="21" customHeight="1" x14ac:dyDescent="0.25">
      <c r="A74" s="607"/>
      <c r="B74" s="1361" t="s">
        <v>2348</v>
      </c>
      <c r="C74" s="1361"/>
      <c r="D74" s="1361"/>
      <c r="E74" s="1361"/>
      <c r="F74" s="1361"/>
      <c r="G74" s="1361"/>
      <c r="H74" s="609"/>
      <c r="I74" s="609"/>
      <c r="J74" s="609"/>
      <c r="K74" s="609"/>
      <c r="L74" s="609"/>
      <c r="M74" s="609"/>
      <c r="N74" s="609"/>
      <c r="O74" s="609"/>
      <c r="P74" s="609"/>
      <c r="Q74" s="607"/>
    </row>
    <row r="75" spans="1:17" ht="12" customHeight="1" x14ac:dyDescent="0.25">
      <c r="A75" s="607"/>
      <c r="B75" s="609"/>
      <c r="C75" s="609"/>
      <c r="D75" s="609"/>
      <c r="E75" s="609"/>
      <c r="F75" s="609"/>
      <c r="G75" s="609"/>
      <c r="H75" s="609"/>
      <c r="I75" s="609"/>
      <c r="J75" s="609"/>
      <c r="K75" s="609"/>
      <c r="L75" s="609"/>
      <c r="M75" s="609"/>
      <c r="N75" s="609"/>
      <c r="O75" s="609"/>
      <c r="P75" s="609"/>
      <c r="Q75" s="607"/>
    </row>
    <row r="76" spans="1:17" x14ac:dyDescent="0.25">
      <c r="A76" s="607"/>
      <c r="B76" s="800" t="s">
        <v>2349</v>
      </c>
      <c r="C76" s="801"/>
      <c r="D76" s="801"/>
      <c r="E76" s="801"/>
      <c r="F76" s="801"/>
      <c r="G76" s="801"/>
      <c r="H76" s="801"/>
      <c r="I76" s="801"/>
      <c r="J76" s="801"/>
      <c r="K76" s="801"/>
      <c r="L76" s="801"/>
      <c r="M76" s="801"/>
      <c r="N76" s="801"/>
      <c r="O76" s="801"/>
      <c r="P76" s="801"/>
      <c r="Q76" s="607"/>
    </row>
    <row r="77" spans="1:17" ht="12" customHeight="1" x14ac:dyDescent="0.25">
      <c r="A77" s="607"/>
      <c r="B77" s="801"/>
      <c r="C77" s="801"/>
      <c r="D77" s="801"/>
      <c r="E77" s="801"/>
      <c r="F77" s="801"/>
      <c r="G77" s="801"/>
      <c r="H77" s="801"/>
      <c r="I77" s="801"/>
      <c r="J77" s="801"/>
      <c r="K77" s="801"/>
      <c r="L77" s="801"/>
      <c r="M77" s="801"/>
      <c r="N77" s="801"/>
      <c r="O77" s="801"/>
      <c r="P77" s="801"/>
      <c r="Q77" s="607"/>
    </row>
    <row r="78" spans="1:17" ht="12" customHeight="1" x14ac:dyDescent="0.25">
      <c r="A78" s="607"/>
      <c r="B78" s="609"/>
      <c r="C78" s="609"/>
      <c r="D78" s="609"/>
      <c r="E78" s="609"/>
      <c r="F78" s="609"/>
      <c r="G78" s="609"/>
      <c r="H78" s="609"/>
      <c r="I78" s="609"/>
      <c r="J78" s="609"/>
      <c r="K78" s="609"/>
      <c r="L78" s="609"/>
      <c r="M78" s="609"/>
      <c r="N78" s="609"/>
      <c r="O78" s="609"/>
      <c r="P78" s="609"/>
      <c r="Q78" s="607"/>
    </row>
    <row r="79" spans="1:17" ht="12" customHeight="1" x14ac:dyDescent="0.25">
      <c r="A79" s="607"/>
      <c r="B79" s="609"/>
      <c r="C79" s="609"/>
      <c r="D79" s="609"/>
      <c r="E79" s="609"/>
      <c r="F79" s="609"/>
      <c r="G79" s="609"/>
      <c r="H79" s="609"/>
      <c r="I79" s="609"/>
      <c r="J79" s="609"/>
      <c r="K79" s="609"/>
      <c r="L79" s="609"/>
      <c r="M79" s="609"/>
      <c r="N79" s="609"/>
      <c r="O79" s="609"/>
      <c r="P79" s="609"/>
      <c r="Q79" s="607"/>
    </row>
    <row r="80" spans="1:17" ht="12" customHeight="1" x14ac:dyDescent="0.25">
      <c r="A80" s="607"/>
      <c r="B80" s="609"/>
      <c r="C80" s="609"/>
      <c r="D80" s="609"/>
      <c r="E80" s="609"/>
      <c r="F80" s="609"/>
      <c r="G80" s="609"/>
      <c r="H80" s="609"/>
      <c r="I80" s="609"/>
      <c r="J80" s="609"/>
      <c r="K80" s="609"/>
      <c r="L80" s="609"/>
      <c r="M80" s="609"/>
      <c r="N80" s="609"/>
      <c r="O80" s="609"/>
      <c r="P80" s="609"/>
      <c r="Q80" s="607"/>
    </row>
    <row r="81" spans="1:17" ht="12" customHeight="1" x14ac:dyDescent="0.25">
      <c r="A81" s="607"/>
      <c r="B81" s="609"/>
      <c r="C81" s="609"/>
      <c r="D81" s="609"/>
      <c r="E81" s="609"/>
      <c r="F81" s="609"/>
      <c r="G81" s="609"/>
      <c r="H81" s="609"/>
      <c r="I81" s="609"/>
      <c r="J81" s="609"/>
      <c r="K81" s="609"/>
      <c r="L81" s="609"/>
      <c r="M81" s="609"/>
      <c r="N81" s="609"/>
      <c r="O81" s="609"/>
      <c r="P81" s="609"/>
      <c r="Q81" s="607"/>
    </row>
    <row r="82" spans="1:17" ht="12" customHeight="1" x14ac:dyDescent="0.25">
      <c r="A82" s="607"/>
      <c r="B82" s="609"/>
      <c r="C82" s="609"/>
      <c r="D82" s="609"/>
      <c r="E82" s="609"/>
      <c r="F82" s="609"/>
      <c r="G82" s="609"/>
      <c r="H82" s="609"/>
      <c r="I82" s="609"/>
      <c r="J82" s="609"/>
      <c r="K82" s="609"/>
      <c r="L82" s="609"/>
      <c r="M82" s="609"/>
      <c r="N82" s="609"/>
      <c r="O82" s="609"/>
      <c r="P82" s="609"/>
      <c r="Q82" s="607"/>
    </row>
    <row r="83" spans="1:17" ht="12" customHeight="1" x14ac:dyDescent="0.25">
      <c r="A83" s="607"/>
      <c r="B83" s="609"/>
      <c r="C83" s="609"/>
      <c r="D83" s="609"/>
      <c r="E83" s="609"/>
      <c r="F83" s="609"/>
      <c r="G83" s="609"/>
      <c r="H83" s="609"/>
      <c r="I83" s="609"/>
      <c r="J83" s="609"/>
      <c r="K83" s="609"/>
      <c r="L83" s="609"/>
      <c r="M83" s="609"/>
      <c r="N83" s="609"/>
      <c r="O83" s="609"/>
      <c r="P83" s="609"/>
      <c r="Q83" s="607"/>
    </row>
    <row r="84" spans="1:17" ht="12" customHeight="1" x14ac:dyDescent="0.25">
      <c r="A84" s="607"/>
      <c r="B84" s="609"/>
      <c r="C84" s="609"/>
      <c r="D84" s="609"/>
      <c r="E84" s="609"/>
      <c r="F84" s="609"/>
      <c r="G84" s="609"/>
      <c r="H84" s="609"/>
      <c r="I84" s="609"/>
      <c r="J84" s="609"/>
      <c r="K84" s="609"/>
      <c r="L84" s="609"/>
      <c r="M84" s="609"/>
      <c r="N84" s="609"/>
      <c r="O84" s="609"/>
      <c r="P84" s="609"/>
      <c r="Q84" s="607"/>
    </row>
    <row r="85" spans="1:17" ht="12" customHeight="1" x14ac:dyDescent="0.25">
      <c r="A85" s="607"/>
      <c r="B85" s="609"/>
      <c r="C85" s="609"/>
      <c r="D85" s="609"/>
      <c r="E85" s="609"/>
      <c r="F85" s="609"/>
      <c r="G85" s="609"/>
      <c r="H85" s="609"/>
      <c r="I85" s="609"/>
      <c r="J85" s="609"/>
      <c r="K85" s="609"/>
      <c r="L85" s="609"/>
      <c r="M85" s="609"/>
      <c r="N85" s="609"/>
      <c r="O85" s="609"/>
      <c r="P85" s="609"/>
      <c r="Q85" s="607"/>
    </row>
    <row r="86" spans="1:17" ht="12" customHeight="1" x14ac:dyDescent="0.25">
      <c r="A86" s="607"/>
      <c r="B86" s="609"/>
      <c r="C86" s="609"/>
      <c r="D86" s="609"/>
      <c r="E86" s="609"/>
      <c r="F86" s="609"/>
      <c r="G86" s="609"/>
      <c r="H86" s="609"/>
      <c r="I86" s="609"/>
      <c r="J86" s="609"/>
      <c r="K86" s="609"/>
      <c r="L86" s="609"/>
      <c r="M86" s="609"/>
      <c r="N86" s="609"/>
      <c r="O86" s="609"/>
      <c r="P86" s="609"/>
      <c r="Q86" s="607"/>
    </row>
    <row r="87" spans="1:17" ht="12" customHeight="1" x14ac:dyDescent="0.25">
      <c r="A87" s="607"/>
      <c r="B87" s="609"/>
      <c r="C87" s="609"/>
      <c r="D87" s="609"/>
      <c r="E87" s="609"/>
      <c r="F87" s="609"/>
      <c r="G87" s="609"/>
      <c r="H87" s="609"/>
      <c r="I87" s="609"/>
      <c r="J87" s="609"/>
      <c r="K87" s="609"/>
      <c r="L87" s="609"/>
      <c r="M87" s="609"/>
      <c r="N87" s="609"/>
      <c r="O87" s="609"/>
      <c r="P87" s="609"/>
      <c r="Q87" s="607"/>
    </row>
    <row r="88" spans="1:17" ht="12" customHeight="1" x14ac:dyDescent="0.25">
      <c r="A88" s="607"/>
      <c r="B88" s="609"/>
      <c r="C88" s="609"/>
      <c r="D88" s="609"/>
      <c r="E88" s="609"/>
      <c r="F88" s="609"/>
      <c r="G88" s="609"/>
      <c r="H88" s="609"/>
      <c r="I88" s="609"/>
      <c r="J88" s="609"/>
      <c r="K88" s="609"/>
      <c r="L88" s="609"/>
      <c r="M88" s="609"/>
      <c r="N88" s="609"/>
      <c r="O88" s="609"/>
      <c r="P88" s="609"/>
      <c r="Q88" s="607"/>
    </row>
    <row r="89" spans="1:17" ht="12" customHeight="1" x14ac:dyDescent="0.25">
      <c r="A89" s="607"/>
      <c r="B89" s="609"/>
      <c r="C89" s="609"/>
      <c r="D89" s="609"/>
      <c r="E89" s="609"/>
      <c r="F89" s="609"/>
      <c r="G89" s="609"/>
      <c r="H89" s="609"/>
      <c r="I89" s="609"/>
      <c r="J89" s="609"/>
      <c r="K89" s="609"/>
      <c r="L89" s="609"/>
      <c r="M89" s="609"/>
      <c r="N89" s="609"/>
      <c r="O89" s="609"/>
      <c r="P89" s="609"/>
      <c r="Q89" s="607"/>
    </row>
    <row r="90" spans="1:17" ht="12" customHeight="1" x14ac:dyDescent="0.25">
      <c r="A90" s="607"/>
      <c r="B90" s="609"/>
      <c r="C90" s="609"/>
      <c r="D90" s="609"/>
      <c r="E90" s="609"/>
      <c r="F90" s="609"/>
      <c r="G90" s="609"/>
      <c r="H90" s="609"/>
      <c r="I90" s="609"/>
      <c r="J90" s="609"/>
      <c r="K90" s="609"/>
      <c r="L90" s="609"/>
      <c r="M90" s="609"/>
      <c r="N90" s="609"/>
      <c r="O90" s="609"/>
      <c r="P90" s="609"/>
      <c r="Q90" s="607"/>
    </row>
    <row r="91" spans="1:17" ht="12" customHeight="1" x14ac:dyDescent="0.25">
      <c r="A91" s="607"/>
      <c r="B91" s="609"/>
      <c r="C91" s="609"/>
      <c r="D91" s="609"/>
      <c r="E91" s="609"/>
      <c r="F91" s="609"/>
      <c r="G91" s="609"/>
      <c r="H91" s="609"/>
      <c r="I91" s="609"/>
      <c r="J91" s="609"/>
      <c r="K91" s="609"/>
      <c r="L91" s="609"/>
      <c r="M91" s="609"/>
      <c r="N91" s="609"/>
      <c r="O91" s="609"/>
      <c r="P91" s="609"/>
      <c r="Q91" s="607"/>
    </row>
    <row r="92" spans="1:17" ht="12" customHeight="1" x14ac:dyDescent="0.25">
      <c r="A92" s="607"/>
      <c r="B92" s="609"/>
      <c r="C92" s="609"/>
      <c r="D92" s="609"/>
      <c r="E92" s="609"/>
      <c r="F92" s="609"/>
      <c r="G92" s="609"/>
      <c r="H92" s="609"/>
      <c r="I92" s="609"/>
      <c r="J92" s="609"/>
      <c r="K92" s="609"/>
      <c r="L92" s="609"/>
      <c r="M92" s="609"/>
      <c r="N92" s="609"/>
      <c r="O92" s="609"/>
      <c r="P92" s="609"/>
      <c r="Q92" s="607"/>
    </row>
    <row r="93" spans="1:17" ht="12" customHeight="1" x14ac:dyDescent="0.25">
      <c r="A93" s="607"/>
      <c r="B93" s="609"/>
      <c r="C93" s="609"/>
      <c r="D93" s="609"/>
      <c r="E93" s="609"/>
      <c r="F93" s="609"/>
      <c r="G93" s="609"/>
      <c r="H93" s="609"/>
      <c r="I93" s="609"/>
      <c r="J93" s="609"/>
      <c r="K93" s="609"/>
      <c r="L93" s="609"/>
      <c r="M93" s="609"/>
      <c r="N93" s="609"/>
      <c r="O93" s="609"/>
      <c r="P93" s="609"/>
      <c r="Q93" s="607"/>
    </row>
    <row r="94" spans="1:17" ht="19.5" customHeight="1" x14ac:dyDescent="0.25">
      <c r="A94" s="607"/>
      <c r="B94" s="1232" t="s">
        <v>1431</v>
      </c>
      <c r="C94" s="801"/>
      <c r="D94" s="801"/>
      <c r="E94" s="801"/>
      <c r="F94" s="801"/>
      <c r="G94" s="801"/>
      <c r="H94" s="801"/>
      <c r="I94" s="801"/>
      <c r="J94" s="801"/>
      <c r="K94" s="801"/>
      <c r="L94" s="801"/>
      <c r="M94" s="801"/>
      <c r="N94" s="801"/>
      <c r="O94" s="801"/>
      <c r="P94" s="801"/>
      <c r="Q94" s="607"/>
    </row>
    <row r="95" spans="1:17" ht="30" customHeight="1" x14ac:dyDescent="0.25">
      <c r="A95" s="607"/>
      <c r="B95" s="1362" t="s">
        <v>2411</v>
      </c>
      <c r="C95" s="1362"/>
      <c r="D95" s="1362"/>
      <c r="E95" s="1362"/>
      <c r="F95" s="1362"/>
      <c r="G95" s="1362"/>
      <c r="H95" s="1362"/>
      <c r="I95" s="1362"/>
      <c r="J95" s="1362"/>
      <c r="K95" s="1362"/>
      <c r="L95" s="1362"/>
      <c r="M95" s="1362"/>
      <c r="N95" s="1362"/>
      <c r="O95" s="1362"/>
      <c r="P95" s="801"/>
      <c r="Q95" s="607"/>
    </row>
    <row r="96" spans="1:17" ht="30" customHeight="1" x14ac:dyDescent="0.25">
      <c r="A96" s="607"/>
      <c r="B96" s="1362" t="s">
        <v>2417</v>
      </c>
      <c r="C96" s="1362"/>
      <c r="D96" s="1362"/>
      <c r="E96" s="1362"/>
      <c r="F96" s="1362"/>
      <c r="G96" s="1362"/>
      <c r="H96" s="1362"/>
      <c r="I96" s="1362"/>
      <c r="J96" s="1362"/>
      <c r="K96" s="1362"/>
      <c r="L96" s="1362"/>
      <c r="M96" s="1362"/>
      <c r="N96" s="1362"/>
      <c r="O96" s="1362"/>
      <c r="P96" s="801"/>
      <c r="Q96" s="607"/>
    </row>
    <row r="97" spans="1:17" ht="6" customHeight="1" x14ac:dyDescent="0.25">
      <c r="A97" s="607"/>
      <c r="B97" s="799"/>
      <c r="C97" s="799"/>
      <c r="D97" s="799"/>
      <c r="E97" s="799"/>
      <c r="F97" s="799"/>
      <c r="G97" s="799"/>
      <c r="H97" s="799"/>
      <c r="I97" s="799"/>
      <c r="J97" s="799"/>
      <c r="K97" s="799"/>
      <c r="L97" s="799"/>
      <c r="M97" s="799"/>
      <c r="N97" s="799"/>
      <c r="O97" s="799"/>
      <c r="P97" s="801"/>
      <c r="Q97" s="607"/>
    </row>
    <row r="98" spans="1:17" ht="30" customHeight="1" x14ac:dyDescent="0.25">
      <c r="A98" s="607"/>
      <c r="B98" s="1362" t="s">
        <v>2408</v>
      </c>
      <c r="C98" s="1362"/>
      <c r="D98" s="1362"/>
      <c r="E98" s="1362"/>
      <c r="F98" s="1362"/>
      <c r="G98" s="1362"/>
      <c r="H98" s="1362"/>
      <c r="I98" s="1362"/>
      <c r="J98" s="1362"/>
      <c r="K98" s="1362"/>
      <c r="L98" s="1362"/>
      <c r="M98" s="1362"/>
      <c r="N98" s="1362"/>
      <c r="O98" s="1362"/>
      <c r="P98" s="801"/>
      <c r="Q98" s="607"/>
    </row>
    <row r="99" spans="1:17" ht="45" customHeight="1" x14ac:dyDescent="0.25">
      <c r="A99" s="607"/>
      <c r="B99" s="1362" t="s">
        <v>2461</v>
      </c>
      <c r="C99" s="1362"/>
      <c r="D99" s="1362"/>
      <c r="E99" s="1362"/>
      <c r="F99" s="1362"/>
      <c r="G99" s="1362"/>
      <c r="H99" s="1362"/>
      <c r="I99" s="1362"/>
      <c r="J99" s="1362"/>
      <c r="K99" s="1362"/>
      <c r="L99" s="1362"/>
      <c r="M99" s="1362"/>
      <c r="N99" s="1362"/>
      <c r="O99" s="1362"/>
      <c r="P99" s="801"/>
      <c r="Q99" s="607"/>
    </row>
    <row r="100" spans="1:17" x14ac:dyDescent="0.25">
      <c r="A100" s="607"/>
      <c r="B100" s="801"/>
      <c r="C100" s="801"/>
      <c r="D100" s="801"/>
      <c r="E100" s="801"/>
      <c r="F100" s="801"/>
      <c r="G100" s="801"/>
      <c r="H100" s="801"/>
      <c r="I100" s="801"/>
      <c r="J100" s="801"/>
      <c r="K100" s="801"/>
      <c r="L100" s="801"/>
      <c r="M100" s="801"/>
      <c r="N100" s="801"/>
      <c r="O100" s="801"/>
      <c r="P100" s="801"/>
      <c r="Q100" s="607"/>
    </row>
    <row r="101" spans="1:17" ht="19.5" customHeight="1" x14ac:dyDescent="0.25">
      <c r="A101" s="607"/>
      <c r="B101" s="1232" t="s">
        <v>521</v>
      </c>
      <c r="C101" s="801"/>
      <c r="D101" s="801"/>
      <c r="E101" s="801"/>
      <c r="F101" s="801"/>
      <c r="G101" s="801"/>
      <c r="H101" s="801"/>
      <c r="I101" s="801"/>
      <c r="J101" s="801"/>
      <c r="K101" s="801"/>
      <c r="L101" s="801"/>
      <c r="M101" s="801"/>
      <c r="N101" s="801"/>
      <c r="O101" s="801"/>
      <c r="P101" s="801"/>
      <c r="Q101" s="607"/>
    </row>
    <row r="102" spans="1:17" x14ac:dyDescent="0.25">
      <c r="A102" s="607"/>
      <c r="B102" s="618" t="s">
        <v>970</v>
      </c>
      <c r="C102" s="801"/>
      <c r="D102" s="801"/>
      <c r="E102" s="801"/>
      <c r="F102" s="801"/>
      <c r="G102" s="801"/>
      <c r="H102" s="801"/>
      <c r="I102" s="801"/>
      <c r="J102" s="801"/>
      <c r="K102" s="801"/>
      <c r="L102" s="801"/>
      <c r="M102" s="801"/>
      <c r="N102" s="801"/>
      <c r="O102" s="801"/>
      <c r="P102" s="801"/>
      <c r="Q102" s="607"/>
    </row>
    <row r="103" spans="1:17" x14ac:dyDescent="0.25">
      <c r="A103" s="607"/>
      <c r="B103" s="890" t="s">
        <v>1578</v>
      </c>
      <c r="C103" s="889"/>
      <c r="D103" s="889"/>
      <c r="E103" s="889"/>
      <c r="F103" s="889"/>
      <c r="G103" s="889"/>
      <c r="H103" s="889"/>
      <c r="I103" s="889"/>
      <c r="J103" s="889"/>
      <c r="K103" s="889"/>
      <c r="L103" s="889"/>
      <c r="M103" s="889"/>
      <c r="N103" s="889"/>
      <c r="O103" s="889"/>
      <c r="P103" s="889"/>
      <c r="Q103" s="607"/>
    </row>
    <row r="104" spans="1:17" x14ac:dyDescent="0.25">
      <c r="A104" s="607"/>
      <c r="B104" s="890" t="s">
        <v>1577</v>
      </c>
      <c r="C104" s="801"/>
      <c r="D104" s="801"/>
      <c r="E104" s="801"/>
      <c r="F104" s="801"/>
      <c r="G104" s="801"/>
      <c r="H104" s="801"/>
      <c r="I104" s="801"/>
      <c r="J104" s="801"/>
      <c r="K104" s="801"/>
      <c r="L104" s="801"/>
      <c r="M104" s="801"/>
      <c r="N104" s="801"/>
      <c r="O104" s="801"/>
      <c r="P104" s="801"/>
      <c r="Q104" s="607"/>
    </row>
    <row r="105" spans="1:17" x14ac:dyDescent="0.25">
      <c r="A105" s="607"/>
      <c r="B105" s="890" t="s">
        <v>1580</v>
      </c>
      <c r="C105" s="889"/>
      <c r="D105" s="889"/>
      <c r="E105" s="889"/>
      <c r="F105" s="889"/>
      <c r="G105" s="889"/>
      <c r="H105" s="889"/>
      <c r="I105" s="889"/>
      <c r="J105" s="889"/>
      <c r="K105" s="889"/>
      <c r="L105" s="889"/>
      <c r="M105" s="889"/>
      <c r="N105" s="889"/>
      <c r="O105" s="889"/>
      <c r="P105" s="889"/>
      <c r="Q105" s="607"/>
    </row>
    <row r="106" spans="1:17" x14ac:dyDescent="0.25">
      <c r="A106" s="607"/>
      <c r="B106" s="618" t="s">
        <v>2412</v>
      </c>
      <c r="C106" s="801"/>
      <c r="D106" s="801"/>
      <c r="E106" s="801"/>
      <c r="F106" s="801"/>
      <c r="G106" s="801"/>
      <c r="H106" s="801"/>
      <c r="I106" s="801"/>
      <c r="J106" s="801"/>
      <c r="K106" s="801"/>
      <c r="L106" s="801"/>
      <c r="M106" s="801"/>
      <c r="N106" s="801"/>
      <c r="O106" s="801"/>
      <c r="P106" s="801"/>
      <c r="Q106" s="607"/>
    </row>
    <row r="107" spans="1:17" x14ac:dyDescent="0.25">
      <c r="A107" s="607"/>
      <c r="B107" s="618" t="s">
        <v>2409</v>
      </c>
      <c r="C107" s="801"/>
      <c r="D107" s="801"/>
      <c r="E107" s="801"/>
      <c r="F107" s="801"/>
      <c r="G107" s="801"/>
      <c r="H107" s="801"/>
      <c r="I107" s="801"/>
      <c r="J107" s="801"/>
      <c r="K107" s="801"/>
      <c r="L107" s="801"/>
      <c r="M107" s="801"/>
      <c r="N107" s="801"/>
      <c r="O107" s="801"/>
      <c r="P107" s="801"/>
      <c r="Q107" s="607"/>
    </row>
    <row r="108" spans="1:17" x14ac:dyDescent="0.25">
      <c r="A108" s="607"/>
      <c r="B108" s="890" t="s">
        <v>1579</v>
      </c>
      <c r="C108" s="889"/>
      <c r="D108" s="889"/>
      <c r="E108" s="889"/>
      <c r="F108" s="889"/>
      <c r="G108" s="889"/>
      <c r="H108" s="889"/>
      <c r="I108" s="889"/>
      <c r="J108" s="889"/>
      <c r="K108" s="889"/>
      <c r="L108" s="889"/>
      <c r="M108" s="889"/>
      <c r="N108" s="889"/>
      <c r="O108" s="889"/>
      <c r="P108" s="889"/>
      <c r="Q108" s="607"/>
    </row>
    <row r="109" spans="1:17" x14ac:dyDescent="0.25">
      <c r="A109" s="607"/>
      <c r="B109" s="1010" t="s">
        <v>1744</v>
      </c>
      <c r="C109" s="801"/>
      <c r="D109" s="801"/>
      <c r="E109" s="801"/>
      <c r="F109" s="801"/>
      <c r="G109" s="801"/>
      <c r="H109" s="801"/>
      <c r="I109" s="801"/>
      <c r="J109" s="801"/>
      <c r="K109" s="801"/>
      <c r="L109" s="801"/>
      <c r="M109" s="801"/>
      <c r="N109" s="801"/>
      <c r="O109" s="801"/>
      <c r="P109" s="801"/>
      <c r="Q109" s="607"/>
    </row>
    <row r="110" spans="1:17" x14ac:dyDescent="0.25">
      <c r="A110" s="607"/>
      <c r="B110" s="618" t="s">
        <v>2416</v>
      </c>
      <c r="C110" s="801"/>
      <c r="D110" s="801"/>
      <c r="E110" s="801"/>
      <c r="F110" s="801"/>
      <c r="G110" s="801"/>
      <c r="H110" s="801"/>
      <c r="I110" s="801"/>
      <c r="J110" s="801"/>
      <c r="K110" s="801"/>
      <c r="L110" s="801"/>
      <c r="M110" s="801"/>
      <c r="N110" s="801"/>
      <c r="O110" s="801"/>
      <c r="P110" s="801"/>
      <c r="Q110" s="607"/>
    </row>
    <row r="111" spans="1:17" x14ac:dyDescent="0.25">
      <c r="A111" s="607"/>
      <c r="B111" s="801"/>
      <c r="C111" s="801"/>
      <c r="D111" s="801"/>
      <c r="E111" s="801"/>
      <c r="F111" s="801"/>
      <c r="G111" s="801"/>
      <c r="H111" s="801"/>
      <c r="I111" s="801"/>
      <c r="J111" s="801"/>
      <c r="K111" s="801"/>
      <c r="L111" s="801"/>
      <c r="M111" s="801"/>
      <c r="N111" s="801"/>
      <c r="O111" s="801"/>
      <c r="P111" s="801"/>
      <c r="Q111" s="607"/>
    </row>
    <row r="112" spans="1:17" ht="19.5" customHeight="1" x14ac:dyDescent="0.25">
      <c r="A112" s="607"/>
      <c r="B112" s="1232" t="s">
        <v>1057</v>
      </c>
      <c r="C112" s="617"/>
      <c r="D112" s="617"/>
      <c r="E112" s="617"/>
      <c r="F112" s="617"/>
      <c r="G112" s="617"/>
      <c r="H112" s="617"/>
      <c r="I112" s="617"/>
      <c r="J112" s="617"/>
      <c r="K112" s="617"/>
      <c r="L112" s="617"/>
      <c r="M112" s="617"/>
      <c r="N112" s="617"/>
      <c r="O112" s="11"/>
      <c r="P112" s="801"/>
      <c r="Q112" s="607"/>
    </row>
    <row r="113" spans="1:17" x14ac:dyDescent="0.25">
      <c r="A113" s="607"/>
      <c r="B113" s="618" t="s">
        <v>2350</v>
      </c>
      <c r="C113" s="618"/>
      <c r="D113" s="618"/>
      <c r="E113" s="618"/>
      <c r="F113" s="618"/>
      <c r="G113" s="618"/>
      <c r="H113" s="618"/>
      <c r="I113" s="618"/>
      <c r="J113" s="618"/>
      <c r="K113" s="618"/>
      <c r="L113" s="618"/>
      <c r="M113" s="618"/>
      <c r="N113" s="618"/>
      <c r="O113" s="11"/>
      <c r="P113" s="801"/>
      <c r="Q113" s="607"/>
    </row>
    <row r="114" spans="1:17" x14ac:dyDescent="0.25">
      <c r="A114" s="607"/>
      <c r="B114" s="1009" t="s">
        <v>1473</v>
      </c>
      <c r="C114" s="618"/>
      <c r="D114" s="618"/>
      <c r="E114" s="618"/>
      <c r="F114" s="618"/>
      <c r="G114" s="618"/>
      <c r="H114" s="618"/>
      <c r="I114" s="618"/>
      <c r="J114" s="618"/>
      <c r="K114" s="618"/>
      <c r="L114" s="618"/>
      <c r="M114" s="618"/>
      <c r="N114" s="618"/>
      <c r="O114" s="11"/>
      <c r="P114" s="801"/>
      <c r="Q114" s="607"/>
    </row>
    <row r="115" spans="1:17" x14ac:dyDescent="0.25">
      <c r="A115" s="607"/>
      <c r="B115" s="1364" t="s">
        <v>1474</v>
      </c>
      <c r="C115" s="1364"/>
      <c r="D115" s="1364"/>
      <c r="E115" s="1364"/>
      <c r="F115" s="1364"/>
      <c r="G115" s="1364"/>
      <c r="H115" s="1364"/>
      <c r="I115" s="1364"/>
      <c r="J115" s="1364"/>
      <c r="K115" s="1364"/>
      <c r="L115" s="1364"/>
      <c r="M115" s="1364"/>
      <c r="N115" s="1364"/>
      <c r="O115" s="1364"/>
      <c r="P115" s="801"/>
      <c r="Q115" s="607"/>
    </row>
    <row r="116" spans="1:17" ht="15" customHeight="1" x14ac:dyDescent="0.25">
      <c r="A116" s="607"/>
      <c r="B116" s="1364" t="s">
        <v>2413</v>
      </c>
      <c r="C116" s="1364"/>
      <c r="D116" s="1364"/>
      <c r="E116" s="1364"/>
      <c r="F116" s="1364"/>
      <c r="G116" s="1364"/>
      <c r="H116" s="1364"/>
      <c r="I116" s="1364"/>
      <c r="J116" s="1364"/>
      <c r="K116" s="1364"/>
      <c r="L116" s="1364"/>
      <c r="M116" s="1364"/>
      <c r="N116" s="1364"/>
      <c r="O116" s="1364"/>
      <c r="P116" s="1364"/>
      <c r="Q116" s="607"/>
    </row>
    <row r="117" spans="1:17" x14ac:dyDescent="0.25">
      <c r="A117" s="607"/>
      <c r="B117" s="1364" t="s">
        <v>2420</v>
      </c>
      <c r="C117" s="1364"/>
      <c r="D117" s="1364"/>
      <c r="E117" s="1364"/>
      <c r="F117" s="1364"/>
      <c r="G117" s="1364"/>
      <c r="H117" s="1364"/>
      <c r="I117" s="1364"/>
      <c r="J117" s="1364"/>
      <c r="K117" s="1364"/>
      <c r="L117" s="1364"/>
      <c r="M117" s="1364"/>
      <c r="N117" s="1364"/>
      <c r="O117" s="1364"/>
      <c r="P117" s="801"/>
      <c r="Q117" s="607"/>
    </row>
    <row r="118" spans="1:17" x14ac:dyDescent="0.25">
      <c r="A118" s="607"/>
      <c r="B118" s="1009" t="s">
        <v>1475</v>
      </c>
      <c r="C118" s="798"/>
      <c r="D118" s="798"/>
      <c r="E118" s="798"/>
      <c r="F118" s="798"/>
      <c r="G118" s="798"/>
      <c r="H118" s="798"/>
      <c r="I118" s="798"/>
      <c r="J118" s="798"/>
      <c r="K118" s="798"/>
      <c r="L118" s="798"/>
      <c r="M118" s="798"/>
      <c r="N118" s="798"/>
      <c r="O118" s="798"/>
      <c r="P118" s="801"/>
      <c r="Q118" s="607"/>
    </row>
    <row r="119" spans="1:17" ht="30" customHeight="1" x14ac:dyDescent="0.25">
      <c r="A119" s="607"/>
      <c r="B119" s="1364" t="s">
        <v>1476</v>
      </c>
      <c r="C119" s="1364"/>
      <c r="D119" s="1364"/>
      <c r="E119" s="1364"/>
      <c r="F119" s="1364"/>
      <c r="G119" s="1364"/>
      <c r="H119" s="1364"/>
      <c r="I119" s="1364"/>
      <c r="J119" s="1364"/>
      <c r="K119" s="1364"/>
      <c r="L119" s="1364"/>
      <c r="M119" s="1364"/>
      <c r="N119" s="1364"/>
      <c r="O119" s="1364"/>
      <c r="P119" s="801"/>
      <c r="Q119" s="607"/>
    </row>
    <row r="120" spans="1:17" ht="30" customHeight="1" x14ac:dyDescent="0.25">
      <c r="A120" s="607"/>
      <c r="B120" s="1364" t="s">
        <v>2414</v>
      </c>
      <c r="C120" s="1364"/>
      <c r="D120" s="1364"/>
      <c r="E120" s="1364"/>
      <c r="F120" s="1364"/>
      <c r="G120" s="1364"/>
      <c r="H120" s="1364"/>
      <c r="I120" s="1364"/>
      <c r="J120" s="1364"/>
      <c r="K120" s="1364"/>
      <c r="L120" s="1364"/>
      <c r="M120" s="1364"/>
      <c r="N120" s="1364"/>
      <c r="O120" s="1364"/>
      <c r="P120" s="801"/>
      <c r="Q120" s="607"/>
    </row>
    <row r="121" spans="1:17" ht="30" customHeight="1" x14ac:dyDescent="0.25">
      <c r="A121" s="607"/>
      <c r="B121" s="1364" t="s">
        <v>1477</v>
      </c>
      <c r="C121" s="1364"/>
      <c r="D121" s="1364"/>
      <c r="E121" s="1364"/>
      <c r="F121" s="1364"/>
      <c r="G121" s="1364"/>
      <c r="H121" s="1364"/>
      <c r="I121" s="1364"/>
      <c r="J121" s="1364"/>
      <c r="K121" s="1364"/>
      <c r="L121" s="1364"/>
      <c r="M121" s="1364"/>
      <c r="N121" s="1364"/>
      <c r="O121" s="1364"/>
      <c r="P121" s="801"/>
      <c r="Q121" s="607"/>
    </row>
    <row r="122" spans="1:17" ht="30" customHeight="1" x14ac:dyDescent="0.25">
      <c r="A122" s="607"/>
      <c r="B122" s="1364" t="s">
        <v>2415</v>
      </c>
      <c r="C122" s="1364"/>
      <c r="D122" s="1364"/>
      <c r="E122" s="1364"/>
      <c r="F122" s="1364"/>
      <c r="G122" s="1364"/>
      <c r="H122" s="1364"/>
      <c r="I122" s="1364"/>
      <c r="J122" s="1364"/>
      <c r="K122" s="1364"/>
      <c r="L122" s="1364"/>
      <c r="M122" s="1364"/>
      <c r="N122" s="1364"/>
      <c r="O122" s="1364"/>
      <c r="P122" s="609"/>
      <c r="Q122" s="607"/>
    </row>
    <row r="123" spans="1:17" ht="11.25" customHeight="1" x14ac:dyDescent="0.25">
      <c r="A123" s="607"/>
      <c r="B123" s="798"/>
      <c r="C123" s="798"/>
      <c r="D123" s="798"/>
      <c r="E123" s="798"/>
      <c r="F123" s="798"/>
      <c r="G123" s="798"/>
      <c r="H123" s="798"/>
      <c r="I123" s="798"/>
      <c r="J123" s="798"/>
      <c r="K123" s="798"/>
      <c r="L123" s="798"/>
      <c r="M123" s="798"/>
      <c r="N123" s="798"/>
      <c r="O123" s="798"/>
      <c r="P123" s="801"/>
      <c r="Q123" s="607"/>
    </row>
    <row r="124" spans="1:17" ht="11.25" customHeight="1" x14ac:dyDescent="0.25">
      <c r="A124" s="607"/>
      <c r="B124" s="798"/>
      <c r="C124" s="798"/>
      <c r="D124" s="798"/>
      <c r="E124" s="798"/>
      <c r="F124" s="798"/>
      <c r="G124" s="798"/>
      <c r="H124" s="798"/>
      <c r="I124" s="798"/>
      <c r="J124" s="798"/>
      <c r="K124" s="798"/>
      <c r="L124" s="798"/>
      <c r="M124" s="798"/>
      <c r="N124" s="798"/>
      <c r="O124" s="798"/>
      <c r="P124" s="801"/>
      <c r="Q124" s="607"/>
    </row>
    <row r="125" spans="1:17" ht="21" customHeight="1" x14ac:dyDescent="0.25">
      <c r="A125" s="607"/>
      <c r="B125" s="1361" t="s">
        <v>2351</v>
      </c>
      <c r="C125" s="1361"/>
      <c r="D125" s="1361"/>
      <c r="E125" s="1361"/>
      <c r="F125" s="1361"/>
      <c r="G125" s="1361"/>
      <c r="H125" s="615"/>
      <c r="I125" s="615"/>
      <c r="J125" s="615"/>
      <c r="K125" s="615"/>
      <c r="L125" s="615"/>
      <c r="M125" s="615"/>
      <c r="N125" s="615"/>
      <c r="O125" s="609"/>
      <c r="P125" s="609"/>
      <c r="Q125" s="607"/>
    </row>
    <row r="126" spans="1:17" ht="7.5" customHeight="1" x14ac:dyDescent="0.35">
      <c r="A126" s="607"/>
      <c r="B126" s="616"/>
      <c r="C126" s="615"/>
      <c r="D126" s="615"/>
      <c r="E126" s="615"/>
      <c r="F126" s="615"/>
      <c r="G126" s="615"/>
      <c r="H126" s="615"/>
      <c r="I126" s="615"/>
      <c r="J126" s="615"/>
      <c r="K126" s="615"/>
      <c r="L126" s="615"/>
      <c r="M126" s="615"/>
      <c r="N126" s="615"/>
      <c r="O126" s="609"/>
      <c r="P126" s="609"/>
      <c r="Q126" s="607"/>
    </row>
    <row r="127" spans="1:17" ht="19.5" customHeight="1" x14ac:dyDescent="0.25">
      <c r="A127" s="11"/>
      <c r="B127" s="1232" t="s">
        <v>1106</v>
      </c>
      <c r="C127" s="617"/>
      <c r="D127" s="617"/>
      <c r="E127" s="617"/>
      <c r="F127" s="617"/>
      <c r="G127" s="617"/>
      <c r="H127" s="617"/>
      <c r="I127" s="617"/>
      <c r="J127" s="617"/>
      <c r="K127" s="617"/>
      <c r="L127" s="617"/>
      <c r="M127" s="617"/>
      <c r="N127" s="617"/>
      <c r="O127" s="11"/>
      <c r="P127" s="11"/>
      <c r="Q127" s="11"/>
    </row>
    <row r="128" spans="1:17" x14ac:dyDescent="0.25">
      <c r="A128" s="11"/>
      <c r="B128" s="618" t="s">
        <v>2352</v>
      </c>
      <c r="C128" s="617"/>
      <c r="D128" s="617"/>
      <c r="E128" s="617"/>
      <c r="F128" s="617"/>
      <c r="G128" s="617"/>
      <c r="H128" s="617"/>
      <c r="I128" s="617"/>
      <c r="J128" s="617"/>
      <c r="K128" s="617"/>
      <c r="L128" s="617"/>
      <c r="M128" s="617"/>
      <c r="N128" s="617"/>
      <c r="O128" s="11"/>
      <c r="P128" s="11"/>
      <c r="Q128" s="11"/>
    </row>
    <row r="129" spans="1:17" x14ac:dyDescent="0.25">
      <c r="A129" s="11"/>
      <c r="B129" s="824" t="s">
        <v>2353</v>
      </c>
      <c r="C129" s="617"/>
      <c r="D129" s="617"/>
      <c r="E129" s="617"/>
      <c r="F129" s="617"/>
      <c r="G129" s="617"/>
      <c r="H129" s="617"/>
      <c r="I129" s="617"/>
      <c r="J129" s="617"/>
      <c r="K129" s="617"/>
      <c r="L129" s="617"/>
      <c r="M129" s="617"/>
      <c r="N129" s="617"/>
      <c r="O129" s="11"/>
      <c r="P129" s="11"/>
      <c r="Q129" s="11"/>
    </row>
    <row r="130" spans="1:17" x14ac:dyDescent="0.25">
      <c r="A130" s="11"/>
      <c r="B130" s="824" t="s">
        <v>1433</v>
      </c>
      <c r="C130" s="617"/>
      <c r="D130" s="617"/>
      <c r="E130" s="617"/>
      <c r="F130" s="617"/>
      <c r="G130" s="617"/>
      <c r="H130" s="617"/>
      <c r="I130" s="617"/>
      <c r="J130" s="617"/>
      <c r="K130" s="617"/>
      <c r="L130" s="617"/>
      <c r="M130" s="617"/>
      <c r="N130" s="617"/>
      <c r="O130" s="11"/>
      <c r="P130" s="11"/>
      <c r="Q130" s="11"/>
    </row>
    <row r="131" spans="1:17" x14ac:dyDescent="0.25">
      <c r="A131" s="11"/>
      <c r="B131" s="618" t="s">
        <v>1434</v>
      </c>
      <c r="C131" s="617"/>
      <c r="D131" s="617"/>
      <c r="E131" s="617"/>
      <c r="F131" s="617"/>
      <c r="G131" s="617"/>
      <c r="H131" s="617"/>
      <c r="I131" s="617"/>
      <c r="J131" s="617"/>
      <c r="K131" s="617"/>
      <c r="L131" s="617"/>
      <c r="M131" s="617"/>
      <c r="N131" s="617"/>
      <c r="O131" s="11"/>
      <c r="P131" s="11"/>
      <c r="Q131" s="11"/>
    </row>
    <row r="132" spans="1:17" x14ac:dyDescent="0.25">
      <c r="A132" s="11"/>
      <c r="B132" s="618"/>
      <c r="C132" s="617"/>
      <c r="D132" s="617"/>
      <c r="E132" s="617"/>
      <c r="F132" s="617"/>
      <c r="G132" s="617"/>
      <c r="H132" s="617"/>
      <c r="I132" s="617"/>
      <c r="J132" s="617"/>
      <c r="K132" s="617"/>
      <c r="L132" s="617"/>
      <c r="M132" s="617"/>
      <c r="N132" s="617"/>
      <c r="O132" s="11"/>
      <c r="P132" s="11"/>
      <c r="Q132" s="11"/>
    </row>
    <row r="133" spans="1:17" ht="19.5" customHeight="1" x14ac:dyDescent="0.25">
      <c r="A133" s="11"/>
      <c r="B133" s="1232" t="s">
        <v>1432</v>
      </c>
      <c r="C133" s="617"/>
      <c r="D133" s="617"/>
      <c r="E133" s="617"/>
      <c r="F133" s="617"/>
      <c r="G133" s="617"/>
      <c r="H133" s="617"/>
      <c r="I133" s="617"/>
      <c r="J133" s="617"/>
      <c r="K133" s="617"/>
      <c r="L133" s="617"/>
      <c r="M133" s="617"/>
      <c r="N133" s="617"/>
      <c r="O133" s="11"/>
      <c r="P133" s="11"/>
      <c r="Q133" s="11"/>
    </row>
    <row r="134" spans="1:17" x14ac:dyDescent="0.25">
      <c r="A134" s="11"/>
      <c r="B134" s="1365" t="s">
        <v>1554</v>
      </c>
      <c r="C134" s="1365"/>
      <c r="D134" s="1365"/>
      <c r="E134" s="1365"/>
      <c r="F134" s="1365"/>
      <c r="G134" s="1365"/>
      <c r="H134" s="1365"/>
      <c r="I134" s="1365"/>
      <c r="J134" s="1365"/>
      <c r="K134" s="1365"/>
      <c r="L134" s="1365"/>
      <c r="M134" s="1365"/>
      <c r="N134" s="1365"/>
      <c r="O134" s="1365"/>
      <c r="P134" s="11"/>
      <c r="Q134" s="11"/>
    </row>
    <row r="135" spans="1:17" x14ac:dyDescent="0.25">
      <c r="A135" s="11"/>
      <c r="B135" s="1365" t="s">
        <v>2566</v>
      </c>
      <c r="C135" s="1365"/>
      <c r="D135" s="1365"/>
      <c r="E135" s="1365"/>
      <c r="F135" s="1365"/>
      <c r="G135" s="1365"/>
      <c r="H135" s="1365"/>
      <c r="I135" s="1365"/>
      <c r="J135" s="1365"/>
      <c r="K135" s="1365"/>
      <c r="L135" s="1365"/>
      <c r="M135" s="1365"/>
      <c r="N135" s="1365"/>
      <c r="O135" s="1365"/>
      <c r="P135" s="11"/>
      <c r="Q135" s="11"/>
    </row>
    <row r="136" spans="1:17" x14ac:dyDescent="0.25">
      <c r="A136" s="11"/>
      <c r="B136" s="1364"/>
      <c r="C136" s="1364"/>
      <c r="D136" s="1364"/>
      <c r="E136" s="1364"/>
      <c r="F136" s="1364"/>
      <c r="G136" s="1364"/>
      <c r="H136" s="1364"/>
      <c r="I136" s="1364"/>
      <c r="J136" s="1364"/>
      <c r="K136" s="1364"/>
      <c r="L136" s="1364"/>
      <c r="M136" s="1364"/>
      <c r="N136" s="1364"/>
      <c r="O136" s="1364"/>
      <c r="P136" s="11"/>
      <c r="Q136" s="11"/>
    </row>
    <row r="137" spans="1:17" ht="19.5" customHeight="1" x14ac:dyDescent="0.25">
      <c r="A137" s="11"/>
      <c r="B137" s="1232" t="s">
        <v>1435</v>
      </c>
      <c r="C137" s="11"/>
      <c r="D137" s="11"/>
      <c r="E137" s="11"/>
      <c r="F137" s="11"/>
      <c r="G137" s="11"/>
      <c r="H137" s="11"/>
      <c r="I137" s="11"/>
      <c r="J137" s="11"/>
      <c r="K137" s="11"/>
      <c r="L137" s="11"/>
      <c r="M137" s="11"/>
      <c r="N137" s="11"/>
      <c r="O137" s="11"/>
      <c r="P137" s="11"/>
      <c r="Q137" s="11"/>
    </row>
    <row r="138" spans="1:17" ht="30" customHeight="1" x14ac:dyDescent="0.25">
      <c r="A138" s="11"/>
      <c r="B138" s="1362" t="s">
        <v>2418</v>
      </c>
      <c r="C138" s="1362"/>
      <c r="D138" s="1362"/>
      <c r="E138" s="1362"/>
      <c r="F138" s="1362"/>
      <c r="G138" s="1362"/>
      <c r="H138" s="1362"/>
      <c r="I138" s="1362"/>
      <c r="J138" s="1362"/>
      <c r="K138" s="1362"/>
      <c r="L138" s="1362"/>
      <c r="M138" s="1362"/>
      <c r="N138" s="1362"/>
      <c r="O138" s="1362"/>
      <c r="P138" s="11"/>
      <c r="Q138" s="11"/>
    </row>
    <row r="139" spans="1:17" ht="30" customHeight="1" x14ac:dyDescent="0.25">
      <c r="A139" s="11"/>
      <c r="B139" s="1362" t="s">
        <v>2421</v>
      </c>
      <c r="C139" s="1362"/>
      <c r="D139" s="1362"/>
      <c r="E139" s="1362"/>
      <c r="F139" s="1362"/>
      <c r="G139" s="1362"/>
      <c r="H139" s="1362"/>
      <c r="I139" s="1362"/>
      <c r="J139" s="1362"/>
      <c r="K139" s="1362"/>
      <c r="L139" s="1362"/>
      <c r="M139" s="1362"/>
      <c r="N139" s="1362"/>
      <c r="O139" s="1362"/>
      <c r="P139" s="11"/>
      <c r="Q139" s="11"/>
    </row>
    <row r="140" spans="1:17" x14ac:dyDescent="0.25">
      <c r="A140" s="11"/>
      <c r="B140" s="11"/>
      <c r="C140" s="11"/>
      <c r="D140" s="11"/>
      <c r="E140" s="11"/>
      <c r="F140" s="11"/>
      <c r="G140" s="11"/>
      <c r="H140" s="11"/>
      <c r="I140" s="11"/>
      <c r="J140" s="11"/>
      <c r="K140" s="11"/>
      <c r="L140" s="11"/>
      <c r="M140" s="11"/>
      <c r="N140" s="11"/>
      <c r="O140" s="11"/>
      <c r="P140" s="11"/>
      <c r="Q140" s="11"/>
    </row>
    <row r="141" spans="1:17" ht="15.75" x14ac:dyDescent="0.25">
      <c r="A141" s="11"/>
      <c r="B141" s="1008" t="s">
        <v>1436</v>
      </c>
      <c r="C141" s="11"/>
      <c r="D141" s="11"/>
      <c r="E141" s="11"/>
      <c r="F141" s="11"/>
      <c r="G141" s="11"/>
      <c r="H141" s="11"/>
      <c r="I141" s="11"/>
      <c r="J141" s="11"/>
      <c r="K141" s="11"/>
      <c r="L141" s="11"/>
      <c r="M141" s="11"/>
      <c r="N141" s="11"/>
      <c r="O141" s="11"/>
      <c r="P141" s="11"/>
      <c r="Q141" s="11"/>
    </row>
    <row r="142" spans="1:17" x14ac:dyDescent="0.25">
      <c r="A142" s="11"/>
      <c r="B142" s="618" t="s">
        <v>1437</v>
      </c>
      <c r="C142" s="11"/>
      <c r="D142" s="11"/>
      <c r="E142" s="11"/>
      <c r="F142" s="11"/>
      <c r="G142" s="11"/>
      <c r="H142" s="11"/>
      <c r="I142" s="11"/>
      <c r="J142" s="11"/>
      <c r="K142" s="11"/>
      <c r="L142" s="11"/>
      <c r="M142" s="11"/>
      <c r="N142" s="11"/>
      <c r="O142" s="11"/>
      <c r="P142" s="11"/>
      <c r="Q142" s="11"/>
    </row>
    <row r="143" spans="1:17" x14ac:dyDescent="0.25">
      <c r="A143" s="11"/>
      <c r="B143" s="11"/>
      <c r="C143" s="11"/>
      <c r="D143" s="11"/>
      <c r="E143" s="11"/>
      <c r="F143" s="11"/>
      <c r="G143" s="11"/>
      <c r="H143" s="11"/>
      <c r="I143" s="11"/>
      <c r="J143" s="11"/>
      <c r="K143" s="11"/>
      <c r="L143" s="11"/>
      <c r="M143" s="11"/>
      <c r="N143" s="11"/>
      <c r="O143" s="11"/>
      <c r="P143" s="11"/>
      <c r="Q143" s="11"/>
    </row>
    <row r="144" spans="1:17" ht="15.75" x14ac:dyDescent="0.25">
      <c r="A144" s="11"/>
      <c r="B144" s="1008" t="s">
        <v>1581</v>
      </c>
      <c r="C144" s="11"/>
      <c r="D144" s="11"/>
      <c r="E144" s="11"/>
      <c r="F144" s="11"/>
      <c r="G144" s="11"/>
      <c r="H144" s="11"/>
      <c r="I144" s="11"/>
      <c r="J144" s="11"/>
      <c r="K144" s="11"/>
      <c r="L144" s="11"/>
      <c r="M144" s="11"/>
      <c r="N144" s="11"/>
      <c r="O144" s="11"/>
      <c r="P144" s="11"/>
      <c r="Q144" s="11"/>
    </row>
    <row r="145" spans="1:17" x14ac:dyDescent="0.25">
      <c r="A145" s="11"/>
      <c r="B145" s="895" t="s">
        <v>1582</v>
      </c>
      <c r="C145" s="11"/>
      <c r="D145" s="11"/>
      <c r="E145" s="11"/>
      <c r="F145" s="11"/>
      <c r="G145" s="11"/>
      <c r="H145" s="11"/>
      <c r="I145" s="11"/>
      <c r="J145" s="11"/>
      <c r="K145" s="11"/>
      <c r="L145" s="11"/>
      <c r="M145" s="11"/>
      <c r="N145" s="11"/>
      <c r="O145" s="11"/>
      <c r="P145" s="11"/>
      <c r="Q145" s="11"/>
    </row>
    <row r="146" spans="1:17" x14ac:dyDescent="0.25">
      <c r="A146" s="11"/>
      <c r="B146" s="896" t="s">
        <v>2425</v>
      </c>
      <c r="C146" s="11"/>
      <c r="D146" s="11"/>
      <c r="E146" s="11"/>
      <c r="F146" s="11"/>
      <c r="G146" s="11"/>
      <c r="H146" s="11"/>
      <c r="I146" s="11"/>
      <c r="J146" s="11"/>
      <c r="K146" s="11"/>
      <c r="L146" s="11"/>
      <c r="M146" s="11"/>
      <c r="N146" s="11"/>
      <c r="O146" s="11"/>
      <c r="P146" s="11"/>
      <c r="Q146" s="11"/>
    </row>
    <row r="147" spans="1:17" x14ac:dyDescent="0.25">
      <c r="A147" s="11"/>
      <c r="B147" s="1367" t="s">
        <v>1583</v>
      </c>
      <c r="C147" s="1367"/>
      <c r="D147" s="1367"/>
      <c r="E147" s="1367"/>
      <c r="F147" s="1367"/>
      <c r="G147" s="1367"/>
      <c r="H147" s="1367"/>
      <c r="I147" s="1367"/>
      <c r="J147" s="1367"/>
      <c r="K147" s="1367"/>
      <c r="L147" s="1367"/>
      <c r="M147" s="1367"/>
      <c r="N147" s="1367"/>
      <c r="O147" s="1367"/>
      <c r="P147" s="11"/>
      <c r="Q147" s="11"/>
    </row>
    <row r="148" spans="1:17" x14ac:dyDescent="0.25">
      <c r="A148" s="11"/>
      <c r="B148" s="1367"/>
      <c r="C148" s="1367"/>
      <c r="D148" s="1367"/>
      <c r="E148" s="1367"/>
      <c r="F148" s="1367"/>
      <c r="G148" s="1367"/>
      <c r="H148" s="1367"/>
      <c r="I148" s="1367"/>
      <c r="J148" s="1367"/>
      <c r="K148" s="1367"/>
      <c r="L148" s="1367"/>
      <c r="M148" s="1367"/>
      <c r="N148" s="1367"/>
      <c r="O148" s="1367"/>
      <c r="P148" s="11"/>
      <c r="Q148" s="11"/>
    </row>
    <row r="149" spans="1:17" x14ac:dyDescent="0.25">
      <c r="A149" s="11"/>
      <c r="B149" s="11"/>
      <c r="C149" s="11"/>
      <c r="D149" s="11"/>
      <c r="E149" s="11"/>
      <c r="F149" s="11"/>
      <c r="G149" s="11"/>
      <c r="H149" s="11"/>
      <c r="I149" s="11"/>
      <c r="J149" s="11"/>
      <c r="K149" s="11"/>
      <c r="L149" s="11"/>
      <c r="M149" s="11"/>
      <c r="N149" s="11"/>
      <c r="O149" s="11"/>
      <c r="P149" s="11"/>
      <c r="Q149" s="11"/>
    </row>
    <row r="150" spans="1:17" x14ac:dyDescent="0.25"/>
    <row r="151" spans="1:17" x14ac:dyDescent="0.25"/>
    <row r="152" spans="1:17" x14ac:dyDescent="0.25"/>
    <row r="153" spans="1:17" x14ac:dyDescent="0.25"/>
    <row r="154" spans="1:17" x14ac:dyDescent="0.25"/>
    <row r="155" spans="1:17" x14ac:dyDescent="0.25"/>
    <row r="156" spans="1:17" x14ac:dyDescent="0.25"/>
    <row r="157" spans="1:17" x14ac:dyDescent="0.25"/>
    <row r="158" spans="1:17" x14ac:dyDescent="0.25"/>
    <row r="159" spans="1:17" x14ac:dyDescent="0.25"/>
    <row r="160" spans="1:17" x14ac:dyDescent="0.25"/>
    <row r="161" x14ac:dyDescent="0.25"/>
    <row r="162" x14ac:dyDescent="0.25"/>
    <row r="163" x14ac:dyDescent="0.25"/>
  </sheetData>
  <sheetProtection algorithmName="SHA-512" hashValue="hIzsJjsno3k5fEv+oUEkHa8DPX8hjXl1jQFMMBhRA/jeZH45uDOl0gJOOVOX63YB+EJPZNzwpGooXs11wpn4EQ==" saltValue="SP5Xa27LiblEAjAMJcqUlw==" spinCount="100000" sheet="1" objects="1" scenarios="1"/>
  <mergeCells count="53">
    <mergeCell ref="B31:G31"/>
    <mergeCell ref="B147:O148"/>
    <mergeCell ref="J2:K2"/>
    <mergeCell ref="J1:P1"/>
    <mergeCell ref="B13:P14"/>
    <mergeCell ref="B3:C3"/>
    <mergeCell ref="D3:E3"/>
    <mergeCell ref="B4:C4"/>
    <mergeCell ref="B5:C5"/>
    <mergeCell ref="A1:I1"/>
    <mergeCell ref="B2:C2"/>
    <mergeCell ref="B8:P8"/>
    <mergeCell ref="D4:E4"/>
    <mergeCell ref="D5:E5"/>
    <mergeCell ref="B42:E42"/>
    <mergeCell ref="B47:P47"/>
    <mergeCell ref="B139:O139"/>
    <mergeCell ref="B98:O98"/>
    <mergeCell ref="B99:O99"/>
    <mergeCell ref="B117:O117"/>
    <mergeCell ref="B119:O119"/>
    <mergeCell ref="B120:O120"/>
    <mergeCell ref="B121:O121"/>
    <mergeCell ref="B122:O122"/>
    <mergeCell ref="B136:O136"/>
    <mergeCell ref="B134:O134"/>
    <mergeCell ref="B135:O135"/>
    <mergeCell ref="B115:O115"/>
    <mergeCell ref="B125:G125"/>
    <mergeCell ref="B116:P116"/>
    <mergeCell ref="B55:G55"/>
    <mergeCell ref="B74:G74"/>
    <mergeCell ref="B138:O138"/>
    <mergeCell ref="B57:P57"/>
    <mergeCell ref="B58:P58"/>
    <mergeCell ref="B95:O95"/>
    <mergeCell ref="B96:O96"/>
    <mergeCell ref="B10:H10"/>
    <mergeCell ref="B23:P23"/>
    <mergeCell ref="B29:P29"/>
    <mergeCell ref="B50:P50"/>
    <mergeCell ref="B53:P53"/>
    <mergeCell ref="B44:P44"/>
    <mergeCell ref="B39:P39"/>
    <mergeCell ref="B40:P40"/>
    <mergeCell ref="B15:P19"/>
    <mergeCell ref="B26:P26"/>
    <mergeCell ref="B36:P36"/>
    <mergeCell ref="B37:P37"/>
    <mergeCell ref="B38:P38"/>
    <mergeCell ref="B33:P33"/>
    <mergeCell ref="B34:P34"/>
    <mergeCell ref="B35:P35"/>
  </mergeCells>
  <hyperlinks>
    <hyperlink ref="B3" location="Instructions!B8" tooltip="General" display="1. General" xr:uid="{00000000-0004-0000-0200-000000000000}"/>
    <hyperlink ref="B3:C3" location="Introduction!B10" tooltip="Scope" display="1. Scope" xr:uid="{00000000-0004-0000-0200-000001000000}"/>
    <hyperlink ref="B4" location="Instructions!B19" tooltip="Categories" display="2. Categories" xr:uid="{00000000-0004-0000-0200-000002000000}"/>
    <hyperlink ref="B4:C4" location="Introduction!B31" tooltip="Categories" display="2. Categories" xr:uid="{00000000-0004-0000-0200-000003000000}"/>
    <hyperlink ref="B5" location="Introduction!B30" tooltip="Credits" display="3. Credits" xr:uid="{00000000-0004-0000-0200-000004000000}"/>
    <hyperlink ref="D3" location="Introduction!B43" display="4. Certification Levels" xr:uid="{00000000-0004-0000-0200-000005000000}"/>
    <hyperlink ref="D3:E3" location="Introduction!B55" tooltip="Certification Levels" display="4. Certification Levels" xr:uid="{00000000-0004-0000-0200-000006000000}"/>
    <hyperlink ref="D4:E4" location="Introduction!B74" tooltip="Certification Process" display="5. Certification Process" xr:uid="{00000000-0004-0000-0200-000007000000}"/>
    <hyperlink ref="D5:E5" location="Introduction!B125" tooltip="Submissions" display="6. Submissions" xr:uid="{00000000-0004-0000-0200-000008000000}"/>
    <hyperlink ref="B5:C5" location="Introduction!B42" tooltip="Credits" display="3. Credits" xr:uid="{00000000-0004-0000-0200-000009000000}"/>
  </hyperlink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6">
    <tabColor rgb="FF5F4970"/>
  </sheetPr>
  <dimension ref="A1:S139"/>
  <sheetViews>
    <sheetView showRowColHeaders="0" workbookViewId="0">
      <pane ySplit="8" topLeftCell="A9" activePane="bottomLeft" state="frozen"/>
      <selection pane="bottomLeft" activeCell="B11" sqref="B11:E11"/>
    </sheetView>
  </sheetViews>
  <sheetFormatPr defaultColWidth="0" defaultRowHeight="15" customHeight="1" zeroHeight="1" x14ac:dyDescent="0.25"/>
  <cols>
    <col min="1" max="1" width="3.7109375" customWidth="1"/>
    <col min="2" max="2" width="23.140625" customWidth="1"/>
    <col min="3" max="3" width="21.5703125" customWidth="1"/>
    <col min="4" max="4" width="17.28515625" customWidth="1"/>
    <col min="5" max="8" width="17.7109375" customWidth="1"/>
    <col min="9" max="9" width="10.7109375" customWidth="1"/>
    <col min="10" max="11" width="8.7109375" customWidth="1"/>
    <col min="12" max="16384" width="9.140625" hidden="1"/>
  </cols>
  <sheetData>
    <row r="1" spans="1:13" ht="24" customHeight="1" x14ac:dyDescent="0.25">
      <c r="A1" s="1996" t="s">
        <v>1605</v>
      </c>
      <c r="B1" s="1996"/>
      <c r="C1" s="1996"/>
      <c r="D1" s="1996"/>
      <c r="E1" s="1996"/>
      <c r="F1" s="1996"/>
      <c r="G1" s="1996"/>
      <c r="H1" s="1996"/>
      <c r="I1" s="1996"/>
      <c r="J1" s="1996"/>
      <c r="K1" s="1996"/>
    </row>
    <row r="2" spans="1:13" ht="15" customHeight="1" x14ac:dyDescent="0.25">
      <c r="A2" s="4"/>
      <c r="B2" s="4"/>
      <c r="C2" s="4"/>
      <c r="D2" s="4"/>
      <c r="E2" s="4"/>
      <c r="F2" s="4"/>
      <c r="G2" s="5"/>
      <c r="H2" s="1585" t="s">
        <v>1743</v>
      </c>
      <c r="I2" s="1585"/>
      <c r="J2" s="744" t="s">
        <v>56</v>
      </c>
      <c r="K2" s="744" t="s">
        <v>72</v>
      </c>
    </row>
    <row r="3" spans="1:13" ht="15" customHeight="1" x14ac:dyDescent="0.25">
      <c r="A3" s="4"/>
      <c r="B3" s="4"/>
      <c r="C3" s="4"/>
      <c r="D3" s="4"/>
      <c r="E3" s="4"/>
      <c r="F3" s="4"/>
      <c r="G3" s="5"/>
      <c r="H3" s="1585"/>
      <c r="I3" s="1585"/>
      <c r="J3" s="744" t="s">
        <v>60</v>
      </c>
      <c r="K3" s="744" t="s">
        <v>591</v>
      </c>
    </row>
    <row r="4" spans="1:13" ht="15" customHeight="1" x14ac:dyDescent="0.25">
      <c r="A4" s="4"/>
      <c r="B4" s="4"/>
      <c r="C4" s="4"/>
      <c r="D4" s="4"/>
      <c r="E4" s="4"/>
      <c r="F4" s="4"/>
      <c r="G4" s="5"/>
      <c r="H4" s="1586"/>
      <c r="I4" s="1586"/>
      <c r="J4" s="744" t="s">
        <v>64</v>
      </c>
      <c r="K4" s="744"/>
    </row>
    <row r="5" spans="1:13" s="38" customFormat="1" ht="16.5" customHeight="1" x14ac:dyDescent="0.25">
      <c r="A5" s="1600" t="s">
        <v>2601</v>
      </c>
      <c r="B5" s="1601"/>
      <c r="C5" s="1601"/>
      <c r="D5" s="1601"/>
      <c r="E5" s="1601"/>
      <c r="F5" s="1601"/>
      <c r="G5" s="1601"/>
      <c r="H5" s="1601"/>
      <c r="I5" s="1601"/>
      <c r="J5" s="1601"/>
      <c r="K5" s="1601"/>
      <c r="L5"/>
      <c r="M5"/>
    </row>
    <row r="6" spans="1:13" s="38" customFormat="1" ht="16.5" customHeight="1" x14ac:dyDescent="0.25">
      <c r="A6" s="1603"/>
      <c r="B6" s="1604"/>
      <c r="C6" s="1604"/>
      <c r="D6" s="1604"/>
      <c r="E6" s="1604"/>
      <c r="F6" s="1604"/>
      <c r="G6" s="1604"/>
      <c r="H6" s="1604"/>
      <c r="I6" s="1604"/>
      <c r="J6" s="1604"/>
      <c r="K6" s="1604"/>
      <c r="L6"/>
      <c r="M6"/>
    </row>
    <row r="7" spans="1:13" s="38" customFormat="1" ht="16.5" customHeight="1" x14ac:dyDescent="0.25">
      <c r="A7" s="1606"/>
      <c r="B7" s="1607"/>
      <c r="C7" s="1607"/>
      <c r="D7" s="1607"/>
      <c r="E7" s="1607"/>
      <c r="F7" s="1607"/>
      <c r="G7" s="1607"/>
      <c r="H7" s="1607"/>
      <c r="I7" s="1607"/>
      <c r="J7" s="1607"/>
      <c r="K7" s="1607"/>
      <c r="L7"/>
      <c r="M7"/>
    </row>
    <row r="8" spans="1:13" s="38" customFormat="1" ht="10.5" customHeight="1" x14ac:dyDescent="0.25">
      <c r="A8" s="49"/>
      <c r="B8" s="50"/>
      <c r="C8" s="50"/>
      <c r="D8" s="50"/>
      <c r="E8" s="50"/>
      <c r="F8" s="49"/>
      <c r="G8" s="49"/>
      <c r="H8" s="49"/>
      <c r="I8" s="49"/>
      <c r="J8" s="49"/>
      <c r="K8" s="49"/>
      <c r="L8"/>
      <c r="M8"/>
    </row>
    <row r="9" spans="1:13" ht="18" customHeight="1" x14ac:dyDescent="0.25">
      <c r="A9" s="1979" t="s">
        <v>177</v>
      </c>
      <c r="B9" s="1979"/>
      <c r="C9" s="1979"/>
      <c r="D9" s="1979"/>
      <c r="E9" s="1979"/>
      <c r="F9" s="1979"/>
      <c r="G9" s="1979"/>
      <c r="H9" s="1979"/>
      <c r="I9" s="1979"/>
      <c r="J9" s="1979"/>
      <c r="K9" s="1979"/>
    </row>
    <row r="10" spans="1:13" ht="16.5" customHeight="1" x14ac:dyDescent="0.25">
      <c r="A10" s="5"/>
      <c r="B10" s="4"/>
      <c r="C10" s="4"/>
      <c r="D10" s="4"/>
      <c r="E10" s="4"/>
      <c r="F10" s="5"/>
      <c r="G10" s="5"/>
      <c r="H10" s="5"/>
      <c r="I10" s="5"/>
      <c r="J10" s="5"/>
      <c r="K10" s="5"/>
    </row>
    <row r="11" spans="1:13" ht="19.5" customHeight="1" x14ac:dyDescent="0.25">
      <c r="A11" s="5"/>
      <c r="B11" s="1989" t="s">
        <v>178</v>
      </c>
      <c r="C11" s="1990"/>
      <c r="D11" s="1990"/>
      <c r="E11" s="1990"/>
      <c r="F11" s="437" t="s">
        <v>152</v>
      </c>
      <c r="G11" s="437" t="s">
        <v>53</v>
      </c>
      <c r="H11" s="288" t="s">
        <v>492</v>
      </c>
      <c r="I11" s="5"/>
      <c r="J11" s="5"/>
      <c r="K11" s="5"/>
    </row>
    <row r="12" spans="1:13" ht="30" customHeight="1" x14ac:dyDescent="0.25">
      <c r="A12" s="5"/>
      <c r="B12" s="1676" t="s">
        <v>763</v>
      </c>
      <c r="C12" s="1677"/>
      <c r="D12" s="1677"/>
      <c r="E12" s="1678"/>
      <c r="F12" s="36">
        <v>2</v>
      </c>
      <c r="G12" s="294">
        <f ca="1">C66</f>
        <v>0</v>
      </c>
      <c r="H12" s="294" t="str">
        <f ca="1">C67</f>
        <v>No</v>
      </c>
      <c r="I12" s="5"/>
      <c r="J12" s="5"/>
      <c r="K12" s="5"/>
    </row>
    <row r="13" spans="1:13" ht="16.5" customHeight="1" x14ac:dyDescent="0.25">
      <c r="A13" s="5"/>
      <c r="B13" s="4"/>
      <c r="C13" s="4"/>
      <c r="D13" s="4"/>
      <c r="E13" s="4"/>
      <c r="F13" s="5"/>
      <c r="G13" s="5"/>
      <c r="H13" s="5"/>
      <c r="I13" s="5"/>
      <c r="J13" s="5"/>
      <c r="K13" s="5"/>
    </row>
    <row r="14" spans="1:13" ht="18" customHeight="1" x14ac:dyDescent="0.25">
      <c r="A14" s="1979" t="s">
        <v>245</v>
      </c>
      <c r="B14" s="1979"/>
      <c r="C14" s="1979"/>
      <c r="D14" s="1979"/>
      <c r="E14" s="1979"/>
      <c r="F14" s="1979"/>
      <c r="G14" s="1979"/>
      <c r="H14" s="1979"/>
      <c r="I14" s="1979"/>
      <c r="J14" s="1979"/>
      <c r="K14" s="1979"/>
    </row>
    <row r="15" spans="1:13" x14ac:dyDescent="0.25">
      <c r="A15" s="4"/>
      <c r="B15" s="4"/>
      <c r="C15" s="4"/>
      <c r="D15" s="4"/>
      <c r="E15" s="4"/>
      <c r="F15" s="4"/>
      <c r="G15" s="4"/>
      <c r="H15" s="4"/>
      <c r="I15" s="4"/>
      <c r="J15" s="4"/>
      <c r="K15" s="4"/>
    </row>
    <row r="16" spans="1:13" x14ac:dyDescent="0.25">
      <c r="A16" s="4"/>
      <c r="B16" s="593" t="s">
        <v>1104</v>
      </c>
      <c r="C16" s="4"/>
      <c r="D16" s="4"/>
      <c r="E16" s="4"/>
      <c r="F16" s="4"/>
      <c r="G16" s="4"/>
      <c r="H16" s="4"/>
      <c r="I16" s="4"/>
      <c r="J16" s="4"/>
      <c r="K16" s="4"/>
    </row>
    <row r="17" spans="1:11" ht="18" customHeight="1" x14ac:dyDescent="0.25">
      <c r="A17" s="4"/>
      <c r="B17" s="4"/>
      <c r="C17" s="4"/>
      <c r="D17" s="4"/>
      <c r="E17" s="4"/>
      <c r="F17" s="4"/>
      <c r="G17" s="4"/>
      <c r="H17" s="4"/>
      <c r="I17" s="4"/>
      <c r="J17" s="4"/>
      <c r="K17" s="4"/>
    </row>
    <row r="18" spans="1:11" x14ac:dyDescent="0.25">
      <c r="A18" s="4"/>
      <c r="B18" s="592" t="s">
        <v>945</v>
      </c>
      <c r="C18" s="4"/>
      <c r="D18" s="4"/>
      <c r="E18" s="4"/>
      <c r="F18" s="4"/>
      <c r="G18" s="4"/>
      <c r="H18" s="4"/>
      <c r="I18" s="4"/>
      <c r="J18" s="4"/>
      <c r="K18" s="4"/>
    </row>
    <row r="19" spans="1:11" x14ac:dyDescent="0.25">
      <c r="A19" s="4"/>
      <c r="B19" s="748" t="s">
        <v>947</v>
      </c>
      <c r="C19" s="4"/>
      <c r="D19" s="4"/>
      <c r="E19" s="4"/>
      <c r="F19" s="4"/>
      <c r="G19" s="4"/>
      <c r="H19" s="4"/>
      <c r="I19" s="4"/>
      <c r="J19" s="4"/>
      <c r="K19" s="4"/>
    </row>
    <row r="20" spans="1:11" x14ac:dyDescent="0.25">
      <c r="A20" s="4"/>
      <c r="B20" s="748" t="s">
        <v>946</v>
      </c>
      <c r="C20" s="4"/>
      <c r="D20" s="4"/>
      <c r="E20" s="4"/>
      <c r="F20" s="4"/>
      <c r="G20" s="4"/>
      <c r="H20" s="4"/>
      <c r="I20" s="4"/>
      <c r="J20" s="4"/>
      <c r="K20" s="4"/>
    </row>
    <row r="21" spans="1:11" x14ac:dyDescent="0.25">
      <c r="A21" s="4"/>
      <c r="B21" s="748" t="s">
        <v>752</v>
      </c>
      <c r="C21" s="4"/>
      <c r="D21" s="4"/>
      <c r="E21" s="4"/>
      <c r="F21" s="4"/>
      <c r="G21" s="4"/>
      <c r="H21" s="4"/>
      <c r="I21" s="4"/>
      <c r="J21" s="4"/>
      <c r="K21" s="4"/>
    </row>
    <row r="22" spans="1:11" x14ac:dyDescent="0.25">
      <c r="A22" s="4"/>
      <c r="B22" s="592" t="s">
        <v>948</v>
      </c>
      <c r="C22" s="4"/>
      <c r="D22" s="4"/>
      <c r="E22" s="4"/>
      <c r="F22" s="4"/>
      <c r="G22" s="4"/>
      <c r="H22" s="4"/>
      <c r="I22" s="4"/>
      <c r="J22" s="4"/>
      <c r="K22" s="4"/>
    </row>
    <row r="23" spans="1:11" x14ac:dyDescent="0.25">
      <c r="A23" s="4"/>
      <c r="B23" s="430"/>
      <c r="C23" s="4"/>
      <c r="D23" s="4"/>
      <c r="E23" s="4"/>
      <c r="F23" s="4"/>
      <c r="G23" s="4"/>
      <c r="H23" s="4"/>
      <c r="I23" s="4"/>
      <c r="J23" s="4"/>
      <c r="K23" s="4"/>
    </row>
    <row r="24" spans="1:11" x14ac:dyDescent="0.25">
      <c r="A24" s="4"/>
      <c r="B24" s="600" t="s">
        <v>762</v>
      </c>
      <c r="C24" s="594"/>
      <c r="D24" s="594"/>
      <c r="E24" s="594"/>
      <c r="F24" s="594"/>
      <c r="G24" s="594"/>
      <c r="H24" s="594"/>
      <c r="I24" s="595"/>
      <c r="J24" s="4"/>
      <c r="K24" s="4"/>
    </row>
    <row r="25" spans="1:11" x14ac:dyDescent="0.25">
      <c r="A25" s="4"/>
      <c r="B25" s="601" t="s">
        <v>750</v>
      </c>
      <c r="C25" s="596"/>
      <c r="D25" s="596"/>
      <c r="E25" s="596"/>
      <c r="F25" s="596"/>
      <c r="G25" s="596"/>
      <c r="H25" s="596"/>
      <c r="I25" s="597"/>
      <c r="J25" s="4"/>
      <c r="K25" s="4"/>
    </row>
    <row r="26" spans="1:11" x14ac:dyDescent="0.25">
      <c r="A26" s="4"/>
      <c r="B26" s="601" t="s">
        <v>751</v>
      </c>
      <c r="C26" s="596"/>
      <c r="D26" s="596"/>
      <c r="E26" s="596"/>
      <c r="F26" s="596"/>
      <c r="G26" s="596"/>
      <c r="H26" s="596"/>
      <c r="I26" s="597"/>
      <c r="J26" s="4"/>
      <c r="K26" s="4"/>
    </row>
    <row r="27" spans="1:11" x14ac:dyDescent="0.25">
      <c r="A27" s="4"/>
      <c r="B27" s="601" t="s">
        <v>761</v>
      </c>
      <c r="C27" s="596"/>
      <c r="D27" s="596"/>
      <c r="E27" s="596"/>
      <c r="F27" s="596"/>
      <c r="G27" s="596"/>
      <c r="H27" s="596"/>
      <c r="I27" s="597"/>
      <c r="J27" s="4"/>
      <c r="K27" s="4"/>
    </row>
    <row r="28" spans="1:11" x14ac:dyDescent="0.25">
      <c r="A28" s="5"/>
      <c r="B28" s="601" t="s">
        <v>753</v>
      </c>
      <c r="C28" s="596"/>
      <c r="D28" s="596"/>
      <c r="E28" s="596"/>
      <c r="F28" s="596"/>
      <c r="G28" s="596"/>
      <c r="H28" s="596"/>
      <c r="I28" s="597"/>
      <c r="J28" s="5"/>
      <c r="K28" s="5"/>
    </row>
    <row r="29" spans="1:11" x14ac:dyDescent="0.25">
      <c r="A29" s="5"/>
      <c r="B29" s="601" t="s">
        <v>754</v>
      </c>
      <c r="C29" s="596"/>
      <c r="D29" s="596"/>
      <c r="E29" s="596"/>
      <c r="F29" s="596"/>
      <c r="G29" s="596"/>
      <c r="H29" s="596"/>
      <c r="I29" s="597"/>
      <c r="J29" s="5"/>
      <c r="K29" s="5"/>
    </row>
    <row r="30" spans="1:11" x14ac:dyDescent="0.25">
      <c r="A30" s="5"/>
      <c r="B30" s="602" t="s">
        <v>755</v>
      </c>
      <c r="C30" s="598"/>
      <c r="D30" s="598"/>
      <c r="E30" s="598"/>
      <c r="F30" s="598"/>
      <c r="G30" s="598"/>
      <c r="H30" s="598"/>
      <c r="I30" s="599"/>
      <c r="J30" s="5"/>
      <c r="K30" s="5"/>
    </row>
    <row r="31" spans="1:11" ht="19.5" customHeight="1" x14ac:dyDescent="0.25">
      <c r="A31" s="5"/>
      <c r="B31" s="4"/>
      <c r="C31" s="4"/>
      <c r="D31" s="4"/>
      <c r="E31" s="4"/>
      <c r="F31" s="5"/>
      <c r="G31" s="5"/>
      <c r="H31" s="5"/>
      <c r="I31" s="5"/>
      <c r="J31" s="5"/>
      <c r="K31" s="5"/>
    </row>
    <row r="32" spans="1:11" ht="18" customHeight="1" x14ac:dyDescent="0.25">
      <c r="A32" s="1979" t="s">
        <v>23</v>
      </c>
      <c r="B32" s="1979"/>
      <c r="C32" s="1979"/>
      <c r="D32" s="1979"/>
      <c r="E32" s="1979"/>
      <c r="F32" s="1979"/>
      <c r="G32" s="1979"/>
      <c r="H32" s="1979"/>
      <c r="I32" s="1979"/>
      <c r="J32" s="1979"/>
      <c r="K32" s="1979"/>
    </row>
    <row r="33" spans="1:19" x14ac:dyDescent="0.25">
      <c r="A33" s="5"/>
      <c r="B33" s="293"/>
      <c r="C33" s="4"/>
      <c r="D33" s="4"/>
      <c r="E33" s="4"/>
      <c r="F33" s="5"/>
      <c r="G33" s="5"/>
      <c r="H33" s="5"/>
      <c r="I33" s="5"/>
      <c r="J33" s="5"/>
      <c r="K33" s="5"/>
    </row>
    <row r="34" spans="1:19" x14ac:dyDescent="0.25">
      <c r="A34" s="5"/>
      <c r="B34" s="747" t="s">
        <v>1341</v>
      </c>
      <c r="C34" s="4"/>
      <c r="D34" s="4"/>
      <c r="E34" s="4"/>
      <c r="F34" s="5"/>
      <c r="G34" s="5"/>
      <c r="H34" s="5"/>
      <c r="I34" s="5"/>
      <c r="J34" s="5"/>
      <c r="K34" s="5"/>
    </row>
    <row r="35" spans="1:19" ht="10.5" customHeight="1" x14ac:dyDescent="0.25">
      <c r="A35" s="5"/>
      <c r="B35" s="293"/>
      <c r="C35" s="4"/>
      <c r="D35" s="4"/>
      <c r="E35" s="4"/>
      <c r="F35" s="5"/>
      <c r="G35" s="5"/>
      <c r="H35" s="5"/>
      <c r="I35" s="5"/>
      <c r="J35" s="5"/>
      <c r="K35" s="5"/>
    </row>
    <row r="36" spans="1:19" x14ac:dyDescent="0.25">
      <c r="A36" s="5"/>
      <c r="B36" s="747" t="s">
        <v>950</v>
      </c>
      <c r="C36" s="4"/>
      <c r="D36" s="4"/>
      <c r="E36" s="4"/>
      <c r="F36" s="5"/>
      <c r="G36" s="5"/>
      <c r="H36" s="5"/>
      <c r="I36" s="5"/>
      <c r="J36" s="5"/>
      <c r="K36" s="5"/>
    </row>
    <row r="37" spans="1:19" x14ac:dyDescent="0.25">
      <c r="A37" s="4"/>
      <c r="B37" s="747" t="s">
        <v>974</v>
      </c>
      <c r="C37" s="4"/>
      <c r="D37" s="4"/>
      <c r="E37" s="4"/>
      <c r="F37" s="4"/>
      <c r="G37" s="4"/>
      <c r="H37" s="4"/>
      <c r="I37" s="4"/>
      <c r="J37" s="4"/>
      <c r="K37" s="4"/>
    </row>
    <row r="38" spans="1:19" x14ac:dyDescent="0.25">
      <c r="A38" s="4"/>
      <c r="B38" s="749" t="s">
        <v>951</v>
      </c>
      <c r="C38" s="4"/>
      <c r="D38" s="4"/>
      <c r="E38" s="4"/>
      <c r="F38" s="4"/>
      <c r="G38" s="4"/>
      <c r="H38" s="4"/>
      <c r="I38" s="4"/>
      <c r="J38" s="4"/>
      <c r="K38" s="4"/>
    </row>
    <row r="39" spans="1:19" x14ac:dyDescent="0.25">
      <c r="A39" s="4"/>
      <c r="B39" s="749"/>
      <c r="C39" s="4"/>
      <c r="D39" s="4"/>
      <c r="E39" s="4"/>
      <c r="F39" s="4"/>
      <c r="G39" s="4"/>
      <c r="H39" s="4"/>
      <c r="I39" s="4"/>
      <c r="J39" s="4"/>
      <c r="K39" s="4"/>
    </row>
    <row r="40" spans="1:19" x14ac:dyDescent="0.25">
      <c r="A40" s="4"/>
      <c r="B40" s="642" t="s">
        <v>1344</v>
      </c>
      <c r="C40" s="4"/>
      <c r="D40" s="4"/>
      <c r="E40" s="4"/>
      <c r="F40" s="4"/>
      <c r="G40" s="4"/>
      <c r="H40" s="4"/>
      <c r="I40" s="4"/>
      <c r="J40" s="4"/>
      <c r="K40" s="4"/>
    </row>
    <row r="41" spans="1:19" ht="11.25" customHeight="1" x14ac:dyDescent="0.25">
      <c r="A41" s="4"/>
      <c r="B41" s="433"/>
      <c r="C41" s="4"/>
      <c r="D41" s="4"/>
      <c r="E41" s="4"/>
      <c r="F41" s="4"/>
      <c r="G41" s="4"/>
      <c r="H41" s="4"/>
      <c r="I41" s="4"/>
      <c r="J41" s="4"/>
      <c r="K41" s="4"/>
    </row>
    <row r="42" spans="1:19" ht="19.5" customHeight="1" x14ac:dyDescent="0.25">
      <c r="A42" s="4"/>
      <c r="B42" s="431" t="s">
        <v>949</v>
      </c>
      <c r="C42" s="432" t="s">
        <v>40</v>
      </c>
      <c r="D42" s="1987" t="s">
        <v>654</v>
      </c>
      <c r="E42" s="1987"/>
      <c r="F42" s="1987" t="s">
        <v>30</v>
      </c>
      <c r="G42" s="1988"/>
      <c r="H42" s="4"/>
      <c r="I42" s="4"/>
      <c r="J42" s="4"/>
      <c r="K42" s="4"/>
    </row>
    <row r="43" spans="1:19" ht="15.75" customHeight="1" x14ac:dyDescent="0.25">
      <c r="A43" s="4"/>
      <c r="B43" s="524"/>
      <c r="C43" s="518"/>
      <c r="D43" s="1980" t="s">
        <v>124</v>
      </c>
      <c r="E43" s="1981"/>
      <c r="F43" s="1982"/>
      <c r="G43" s="1982"/>
      <c r="H43" s="4"/>
      <c r="I43" s="4"/>
      <c r="J43" s="4"/>
      <c r="K43" s="4"/>
      <c r="L43" t="s">
        <v>124</v>
      </c>
      <c r="M43" t="s">
        <v>1337</v>
      </c>
      <c r="N43" t="s">
        <v>1336</v>
      </c>
      <c r="O43" t="s">
        <v>1338</v>
      </c>
      <c r="P43" t="s">
        <v>1339</v>
      </c>
      <c r="Q43" t="s">
        <v>1346</v>
      </c>
      <c r="R43" t="s">
        <v>1335</v>
      </c>
      <c r="S43" t="s">
        <v>9</v>
      </c>
    </row>
    <row r="44" spans="1:19" ht="15.75" customHeight="1" x14ac:dyDescent="0.25">
      <c r="A44" s="4"/>
      <c r="B44" s="524"/>
      <c r="C44" s="517"/>
      <c r="D44" s="1980" t="s">
        <v>124</v>
      </c>
      <c r="E44" s="1981"/>
      <c r="F44" s="1982"/>
      <c r="G44" s="1982"/>
      <c r="H44" s="4"/>
      <c r="I44" s="4"/>
      <c r="J44" s="4"/>
      <c r="K44" s="4"/>
    </row>
    <row r="45" spans="1:19" ht="15.75" customHeight="1" x14ac:dyDescent="0.25">
      <c r="A45" s="4"/>
      <c r="B45" s="524"/>
      <c r="C45" s="517"/>
      <c r="D45" s="1980" t="s">
        <v>124</v>
      </c>
      <c r="E45" s="1981"/>
      <c r="F45" s="1982"/>
      <c r="G45" s="1982"/>
      <c r="H45" s="4"/>
      <c r="I45" s="4"/>
      <c r="J45" s="4"/>
      <c r="K45" s="4"/>
    </row>
    <row r="46" spans="1:19" ht="15.75" customHeight="1" x14ac:dyDescent="0.25">
      <c r="A46" s="4"/>
      <c r="B46" s="524"/>
      <c r="C46" s="517"/>
      <c r="D46" s="1980" t="s">
        <v>124</v>
      </c>
      <c r="E46" s="1981"/>
      <c r="F46" s="1982"/>
      <c r="G46" s="1982"/>
      <c r="H46" s="4"/>
      <c r="I46" s="4"/>
      <c r="J46" s="4"/>
      <c r="K46" s="4"/>
    </row>
    <row r="47" spans="1:19" ht="15.75" customHeight="1" x14ac:dyDescent="0.25">
      <c r="A47" s="4"/>
      <c r="B47" s="524"/>
      <c r="C47" s="517"/>
      <c r="D47" s="1980" t="s">
        <v>124</v>
      </c>
      <c r="E47" s="1981"/>
      <c r="F47" s="1982"/>
      <c r="G47" s="1982"/>
      <c r="H47" s="4"/>
      <c r="I47" s="4"/>
      <c r="J47" s="4"/>
      <c r="K47" s="4"/>
    </row>
    <row r="48" spans="1:19" ht="15.75" customHeight="1" x14ac:dyDescent="0.25">
      <c r="A48" s="4"/>
      <c r="B48" s="524"/>
      <c r="C48" s="517"/>
      <c r="D48" s="1980" t="s">
        <v>124</v>
      </c>
      <c r="E48" s="1981"/>
      <c r="F48" s="1982"/>
      <c r="G48" s="1982"/>
      <c r="H48" s="4"/>
      <c r="I48" s="4"/>
      <c r="J48" s="4"/>
      <c r="K48" s="4"/>
    </row>
    <row r="49" spans="1:11" ht="15.75" customHeight="1" x14ac:dyDescent="0.25">
      <c r="A49" s="4"/>
      <c r="B49" s="524"/>
      <c r="C49" s="517"/>
      <c r="D49" s="1980" t="s">
        <v>124</v>
      </c>
      <c r="E49" s="1981"/>
      <c r="F49" s="1982"/>
      <c r="G49" s="1982"/>
      <c r="H49" s="4"/>
      <c r="I49" s="4"/>
      <c r="J49" s="4"/>
      <c r="K49" s="4"/>
    </row>
    <row r="50" spans="1:11" ht="15.75" customHeight="1" x14ac:dyDescent="0.25">
      <c r="A50" s="4"/>
      <c r="B50" s="524"/>
      <c r="C50" s="517"/>
      <c r="D50" s="1980" t="s">
        <v>124</v>
      </c>
      <c r="E50" s="1981"/>
      <c r="F50" s="1982"/>
      <c r="G50" s="1982"/>
      <c r="H50" s="4"/>
      <c r="I50" s="4"/>
      <c r="J50" s="4"/>
      <c r="K50" s="4"/>
    </row>
    <row r="51" spans="1:11" ht="15.75" customHeight="1" x14ac:dyDescent="0.25">
      <c r="A51" s="4"/>
      <c r="B51" s="524"/>
      <c r="C51" s="517"/>
      <c r="D51" s="1980" t="s">
        <v>124</v>
      </c>
      <c r="E51" s="1981"/>
      <c r="F51" s="1982"/>
      <c r="G51" s="1982"/>
      <c r="H51" s="4"/>
      <c r="I51" s="4"/>
      <c r="J51" s="4"/>
      <c r="K51" s="4"/>
    </row>
    <row r="52" spans="1:11" ht="15.75" customHeight="1" x14ac:dyDescent="0.25">
      <c r="A52" s="4"/>
      <c r="B52" s="524"/>
      <c r="C52" s="517"/>
      <c r="D52" s="1980" t="s">
        <v>124</v>
      </c>
      <c r="E52" s="1981"/>
      <c r="F52" s="1982"/>
      <c r="G52" s="1982"/>
      <c r="H52" s="4"/>
      <c r="I52" s="4"/>
      <c r="J52" s="4"/>
      <c r="K52" s="4"/>
    </row>
    <row r="53" spans="1:11" ht="16.5" customHeight="1" x14ac:dyDescent="0.25">
      <c r="A53" s="4"/>
      <c r="B53" s="4"/>
      <c r="C53" s="4"/>
      <c r="D53" s="4"/>
      <c r="E53" s="4"/>
      <c r="F53" s="4"/>
      <c r="G53" s="4"/>
      <c r="H53" s="4"/>
      <c r="I53" s="4"/>
      <c r="J53" s="4"/>
      <c r="K53" s="4"/>
    </row>
    <row r="54" spans="1:11" ht="19.5" customHeight="1" x14ac:dyDescent="0.25">
      <c r="A54" s="4"/>
      <c r="B54" s="1997" t="s">
        <v>1342</v>
      </c>
      <c r="C54" s="1997"/>
      <c r="D54" s="1997"/>
      <c r="E54" s="438">
        <f ca="1">E55-SUMIF(D43:E52,"Select",C43:C52)-SUMIF(D43:E52,"No",C43:C52)</f>
        <v>0</v>
      </c>
      <c r="F54" s="4"/>
      <c r="G54" s="4"/>
      <c r="H54" s="4"/>
      <c r="I54" s="4"/>
      <c r="J54" s="4"/>
      <c r="K54" s="4"/>
    </row>
    <row r="55" spans="1:11" ht="19.5" customHeight="1" x14ac:dyDescent="0.25">
      <c r="A55" s="4"/>
      <c r="B55" s="1997" t="s">
        <v>1343</v>
      </c>
      <c r="C55" s="1997"/>
      <c r="D55" s="1997"/>
      <c r="E55" s="438">
        <f>SUM(C43:C52)</f>
        <v>0</v>
      </c>
      <c r="F55" s="4"/>
      <c r="G55" s="4"/>
      <c r="H55" s="4"/>
      <c r="I55" s="4"/>
      <c r="J55" s="4"/>
      <c r="K55" s="4"/>
    </row>
    <row r="56" spans="1:11" ht="19.5" customHeight="1" x14ac:dyDescent="0.25">
      <c r="A56" s="4"/>
      <c r="B56" s="1997" t="s">
        <v>1608</v>
      </c>
      <c r="C56" s="1997"/>
      <c r="D56" s="1997"/>
      <c r="E56" s="292">
        <f ca="1">IFERROR((E54/E55),0)</f>
        <v>0</v>
      </c>
      <c r="F56" s="4"/>
      <c r="G56" s="4"/>
      <c r="H56" s="4"/>
      <c r="I56" s="4"/>
      <c r="J56" s="4"/>
      <c r="K56" s="4"/>
    </row>
    <row r="57" spans="1:11" ht="19.5" customHeight="1" x14ac:dyDescent="0.25">
      <c r="A57" s="4"/>
      <c r="B57" s="4"/>
      <c r="C57" s="4"/>
      <c r="D57" s="4"/>
      <c r="E57" s="4"/>
      <c r="F57" s="4"/>
      <c r="G57" s="4"/>
      <c r="H57" s="4"/>
      <c r="I57" s="4"/>
      <c r="J57" s="4"/>
      <c r="K57" s="4"/>
    </row>
    <row r="58" spans="1:11" ht="18" customHeight="1" x14ac:dyDescent="0.25">
      <c r="A58" s="1979" t="s">
        <v>186</v>
      </c>
      <c r="B58" s="1979"/>
      <c r="C58" s="1979"/>
      <c r="D58" s="1979"/>
      <c r="E58" s="1979"/>
      <c r="F58" s="1979"/>
      <c r="G58" s="1979"/>
      <c r="H58" s="1979"/>
      <c r="I58" s="1979"/>
      <c r="J58" s="1979"/>
      <c r="K58" s="1979"/>
    </row>
    <row r="59" spans="1:11" x14ac:dyDescent="0.25">
      <c r="A59" s="4"/>
      <c r="B59" s="4"/>
      <c r="C59" s="4"/>
      <c r="D59" s="4"/>
      <c r="E59" s="4"/>
      <c r="F59" s="4"/>
      <c r="G59" s="4"/>
      <c r="H59" s="4"/>
      <c r="I59" s="4"/>
      <c r="J59" s="4"/>
      <c r="K59" s="4"/>
    </row>
    <row r="60" spans="1:11" ht="18" customHeight="1" x14ac:dyDescent="0.25">
      <c r="A60" s="4"/>
      <c r="B60" s="1985" t="s">
        <v>1739</v>
      </c>
      <c r="C60" s="1986"/>
      <c r="D60" s="1986"/>
      <c r="E60" s="1986"/>
      <c r="F60" s="1986"/>
      <c r="G60" s="1168" t="s">
        <v>1737</v>
      </c>
      <c r="H60" s="1987" t="s">
        <v>1738</v>
      </c>
      <c r="I60" s="1988"/>
      <c r="J60" s="4"/>
      <c r="K60" s="4"/>
    </row>
    <row r="61" spans="1:11" ht="24" customHeight="1" x14ac:dyDescent="0.25">
      <c r="A61" s="4"/>
      <c r="B61" s="1576" t="s">
        <v>1523</v>
      </c>
      <c r="C61" s="1577"/>
      <c r="D61" s="1577"/>
      <c r="E61" s="1577"/>
      <c r="F61" s="1578"/>
      <c r="G61" s="1164" t="s">
        <v>124</v>
      </c>
      <c r="H61" s="1587"/>
      <c r="I61" s="1588"/>
      <c r="J61" s="4"/>
      <c r="K61" s="4"/>
    </row>
    <row r="62" spans="1:11" ht="24" customHeight="1" x14ac:dyDescent="0.25">
      <c r="A62" s="4"/>
      <c r="B62" s="1576" t="s">
        <v>1524</v>
      </c>
      <c r="C62" s="1577"/>
      <c r="D62" s="1577"/>
      <c r="E62" s="1577"/>
      <c r="F62" s="1578"/>
      <c r="G62" s="1164" t="s">
        <v>124</v>
      </c>
      <c r="H62" s="1587"/>
      <c r="I62" s="1588"/>
      <c r="J62" s="4"/>
      <c r="K62" s="4"/>
    </row>
    <row r="63" spans="1:11" ht="19.5" customHeight="1" x14ac:dyDescent="0.25">
      <c r="A63" s="4"/>
      <c r="B63" s="4"/>
      <c r="C63" s="4"/>
      <c r="D63" s="4"/>
      <c r="E63" s="4"/>
      <c r="F63" s="4"/>
      <c r="G63" s="4"/>
      <c r="H63" s="4"/>
      <c r="I63" s="4"/>
      <c r="J63" s="4"/>
      <c r="K63" s="4"/>
    </row>
    <row r="64" spans="1:11" ht="18" customHeight="1" x14ac:dyDescent="0.25">
      <c r="A64" s="1979" t="s">
        <v>22</v>
      </c>
      <c r="B64" s="1979"/>
      <c r="C64" s="1979"/>
      <c r="D64" s="1979"/>
      <c r="E64" s="1979"/>
      <c r="F64" s="1979"/>
      <c r="G64" s="1979"/>
      <c r="H64" s="1979"/>
      <c r="I64" s="1979"/>
      <c r="J64" s="1979"/>
      <c r="K64" s="1979"/>
    </row>
    <row r="65" spans="1:11" x14ac:dyDescent="0.25">
      <c r="A65" s="4"/>
      <c r="B65" s="4"/>
      <c r="C65" s="4"/>
      <c r="D65" s="4"/>
      <c r="E65" s="4"/>
      <c r="F65" s="4"/>
      <c r="G65" s="4"/>
      <c r="H65" s="4"/>
      <c r="I65" s="4"/>
      <c r="J65" s="4"/>
      <c r="K65" s="4"/>
    </row>
    <row r="66" spans="1:11" ht="18" customHeight="1" x14ac:dyDescent="0.25">
      <c r="A66" s="4"/>
      <c r="B66" s="290" t="s">
        <v>53</v>
      </c>
      <c r="C66" s="1335">
        <f ca="1">IF(E56&gt;=0.8,2,IF(E56&gt;=0.4,1,0))</f>
        <v>0</v>
      </c>
      <c r="D66" s="4"/>
      <c r="E66" s="4"/>
      <c r="F66" s="4"/>
      <c r="G66" s="4"/>
      <c r="H66" s="4"/>
      <c r="I66" s="4"/>
      <c r="J66" s="4"/>
      <c r="K66" s="4"/>
    </row>
    <row r="67" spans="1:11" ht="18" customHeight="1" x14ac:dyDescent="0.25">
      <c r="A67" s="4"/>
      <c r="B67" s="291" t="s">
        <v>492</v>
      </c>
      <c r="C67" s="1335" t="str">
        <f ca="1">IF(AND(COUNTIF(G61:G62,"Submitted")=2,C66&gt;0),"Yes","No")</f>
        <v>No</v>
      </c>
      <c r="D67" s="4"/>
      <c r="E67" s="4"/>
      <c r="F67" s="4"/>
      <c r="G67" s="4"/>
      <c r="H67" s="4"/>
      <c r="I67" s="4"/>
      <c r="J67" s="4"/>
      <c r="K67" s="4"/>
    </row>
    <row r="68" spans="1:11" ht="18.75" customHeight="1" x14ac:dyDescent="0.25">
      <c r="A68" s="4"/>
      <c r="B68" s="4"/>
      <c r="C68" s="4"/>
      <c r="D68" s="4"/>
      <c r="E68" s="4"/>
      <c r="F68" s="4"/>
      <c r="G68" s="4"/>
      <c r="H68" s="4"/>
      <c r="I68" s="4"/>
      <c r="J68" s="4"/>
      <c r="K68" s="4"/>
    </row>
    <row r="69" spans="1:11" ht="14.25" hidden="1" customHeight="1" x14ac:dyDescent="0.25">
      <c r="A69" s="4"/>
      <c r="B69" s="4"/>
      <c r="C69" s="4"/>
      <c r="D69" s="4"/>
      <c r="E69" s="4"/>
      <c r="F69" s="4"/>
      <c r="G69" s="4"/>
      <c r="H69" s="4"/>
      <c r="I69" s="4"/>
      <c r="J69" s="4"/>
      <c r="K69" s="4"/>
    </row>
    <row r="70" spans="1:11" ht="15" hidden="1" customHeight="1" x14ac:dyDescent="0.25"/>
    <row r="71" spans="1:11" ht="15" hidden="1" customHeight="1" x14ac:dyDescent="0.25"/>
    <row r="72" spans="1:11" ht="15" hidden="1" customHeight="1" x14ac:dyDescent="0.25"/>
    <row r="73" spans="1:11" ht="15" hidden="1" customHeight="1" x14ac:dyDescent="0.25"/>
    <row r="74" spans="1:11" ht="15" hidden="1" customHeight="1" x14ac:dyDescent="0.25"/>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sheetData>
  <sheetProtection algorithmName="SHA-512" hashValue="J1Kw2sA+0TWSKkxSmtTCVRXRBHoxivxFOqvGgBINgqCNvFEqMMaCWAYWjA9ow2W6sSpn91gHhCMK9lzM/2CsRg==" saltValue="qkesSUjFce5XiWtDMvaLdg==" spinCount="100000" sheet="1" objects="1" scenarios="1"/>
  <mergeCells count="41">
    <mergeCell ref="A1:K1"/>
    <mergeCell ref="A14:K14"/>
    <mergeCell ref="A9:K9"/>
    <mergeCell ref="A32:K32"/>
    <mergeCell ref="A58:K58"/>
    <mergeCell ref="H2:I4"/>
    <mergeCell ref="A5:K7"/>
    <mergeCell ref="B11:E11"/>
    <mergeCell ref="B12:E12"/>
    <mergeCell ref="F42:G42"/>
    <mergeCell ref="F43:G43"/>
    <mergeCell ref="F44:G44"/>
    <mergeCell ref="D42:E42"/>
    <mergeCell ref="D43:E43"/>
    <mergeCell ref="D44:E44"/>
    <mergeCell ref="D45:E45"/>
    <mergeCell ref="A64:K64"/>
    <mergeCell ref="F52:G52"/>
    <mergeCell ref="F49:G49"/>
    <mergeCell ref="D52:E52"/>
    <mergeCell ref="B54:D54"/>
    <mergeCell ref="B55:D55"/>
    <mergeCell ref="B56:D56"/>
    <mergeCell ref="F51:G51"/>
    <mergeCell ref="D51:E51"/>
    <mergeCell ref="D49:E49"/>
    <mergeCell ref="B61:F61"/>
    <mergeCell ref="B62:F62"/>
    <mergeCell ref="F50:G50"/>
    <mergeCell ref="D50:E50"/>
    <mergeCell ref="B60:F60"/>
    <mergeCell ref="H60:I60"/>
    <mergeCell ref="H61:I61"/>
    <mergeCell ref="H62:I62"/>
    <mergeCell ref="D48:E48"/>
    <mergeCell ref="F48:G48"/>
    <mergeCell ref="F45:G45"/>
    <mergeCell ref="D46:E46"/>
    <mergeCell ref="F46:G46"/>
    <mergeCell ref="D47:E47"/>
    <mergeCell ref="F47:G47"/>
  </mergeCells>
  <conditionalFormatting sqref="F12 B12">
    <cfRule type="expression" dxfId="191" priority="12">
      <formula>OR(#REF!="No",#REF!="Không")</formula>
    </cfRule>
  </conditionalFormatting>
  <conditionalFormatting sqref="F12 B12">
    <cfRule type="expression" dxfId="190" priority="13">
      <formula>OR($D12="No",$D12="Không")</formula>
    </cfRule>
    <cfRule type="expression" dxfId="189" priority="14">
      <formula>OR(#REF!="No",#REF!="Không")</formula>
    </cfRule>
  </conditionalFormatting>
  <conditionalFormatting sqref="G61:G62">
    <cfRule type="expression" dxfId="188" priority="4">
      <formula>#REF!&lt;&gt;"Prescriptive Path"</formula>
    </cfRule>
  </conditionalFormatting>
  <conditionalFormatting sqref="H60:I60">
    <cfRule type="expression" dxfId="187" priority="3">
      <formula>#REF!&lt;&gt;"Prescriptive Path"</formula>
    </cfRule>
  </conditionalFormatting>
  <conditionalFormatting sqref="I61">
    <cfRule type="expression" dxfId="186" priority="2">
      <formula>#REF!&lt;&gt;"Prescriptive Path"</formula>
    </cfRule>
  </conditionalFormatting>
  <conditionalFormatting sqref="I62">
    <cfRule type="expression" dxfId="185" priority="1">
      <formula>#REF!&lt;&gt;"Prescriptive Path"</formula>
    </cfRule>
  </conditionalFormatting>
  <dataValidations count="5">
    <dataValidation allowBlank="1" showInputMessage="1" showErrorMessage="1" prompt="Provide more details on the flooring material used" sqref="F42:G42" xr:uid="{00000000-0002-0000-1D00-000000000000}"/>
    <dataValidation type="list" allowBlank="1" showInputMessage="1" showErrorMessage="1" sqref="D43:E52" xr:uid="{00000000-0002-0000-1D00-000001000000}">
      <formula1>$L$43:$S$43</formula1>
    </dataValidation>
    <dataValidation type="list" allowBlank="1" showInputMessage="1" showErrorMessage="1" sqref="G61:G62" xr:uid="{00000000-0002-0000-1D00-000002000000}">
      <formula1>"Select,Submitted,Not submitted"</formula1>
    </dataValidation>
    <dataValidation allowBlank="1" showInputMessage="1" showErrorMessage="1" prompt="Enter the name of the flooring item" sqref="B43:B52" xr:uid="{00000000-0002-0000-1D00-000003000000}"/>
    <dataValidation allowBlank="1" showInputMessage="1" showErrorMessage="1" prompt="Provide more details on the sustainable feature of the flooring item" sqref="F43:G52" xr:uid="{00000000-0002-0000-1D00-000004000000}"/>
  </dataValidations>
  <hyperlinks>
    <hyperlink ref="K2" location="'M-5 Roofing materials'!D3" tooltip="M-5" display="M-5" xr:uid="{00000000-0004-0000-1D00-000000000000}"/>
    <hyperlink ref="K3" location="'M-6 Furniture'!D3" tooltip="M-6" display="M-6" xr:uid="{00000000-0004-0000-1D00-000001000000}"/>
    <hyperlink ref="J2" location="'M-1 Structure Materials'!D3" tooltip="M-1" display="M-1" xr:uid="{00000000-0004-0000-1D00-000002000000}"/>
    <hyperlink ref="J4" location="'M-3 Windows and doors'!D3" tooltip="M-3" display="M-3" xr:uid="{00000000-0004-0000-1D00-000003000000}"/>
    <hyperlink ref="J3" location="'M-2 Non-structural walls'!D3" tooltip="M-2" display="M-2" xr:uid="{00000000-0004-0000-1D00-000004000000}"/>
  </hyperlinks>
  <pageMargins left="0.7" right="0.7" top="0.75" bottom="0.75" header="0.3" footer="0.3"/>
  <pageSetup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7">
    <tabColor rgb="FF5F4970"/>
  </sheetPr>
  <dimension ref="A1:R151"/>
  <sheetViews>
    <sheetView showRowColHeaders="0" workbookViewId="0">
      <pane ySplit="8" topLeftCell="A9" activePane="bottomLeft" state="frozen"/>
      <selection pane="bottomLeft" activeCell="A9" sqref="A9:K9"/>
    </sheetView>
  </sheetViews>
  <sheetFormatPr defaultColWidth="0" defaultRowHeight="15" customHeight="1" zeroHeight="1" x14ac:dyDescent="0.25"/>
  <cols>
    <col min="1" max="1" width="3.7109375" customWidth="1"/>
    <col min="2" max="2" width="23.140625" customWidth="1"/>
    <col min="3" max="3" width="21.5703125" customWidth="1"/>
    <col min="4" max="5" width="18.7109375" customWidth="1"/>
    <col min="6" max="8" width="17.7109375" customWidth="1"/>
    <col min="9" max="9" width="10.7109375" customWidth="1"/>
    <col min="10" max="11" width="8.7109375" customWidth="1"/>
    <col min="12" max="16384" width="9.140625" hidden="1"/>
  </cols>
  <sheetData>
    <row r="1" spans="1:13" ht="25.5" customHeight="1" x14ac:dyDescent="0.25">
      <c r="A1" s="1996" t="s">
        <v>1606</v>
      </c>
      <c r="B1" s="1996"/>
      <c r="C1" s="1996"/>
      <c r="D1" s="1996"/>
      <c r="E1" s="1996"/>
      <c r="F1" s="1996"/>
      <c r="G1" s="1996"/>
      <c r="H1" s="1996"/>
      <c r="I1" s="1996"/>
      <c r="J1" s="1996"/>
      <c r="K1" s="1996"/>
    </row>
    <row r="2" spans="1:13" ht="15" customHeight="1" x14ac:dyDescent="0.25">
      <c r="A2" s="4"/>
      <c r="B2" s="4"/>
      <c r="C2" s="4"/>
      <c r="D2" s="4"/>
      <c r="E2" s="4"/>
      <c r="F2" s="4"/>
      <c r="G2" s="5"/>
      <c r="H2" s="1585" t="s">
        <v>1743</v>
      </c>
      <c r="I2" s="1585"/>
      <c r="J2" s="744" t="s">
        <v>56</v>
      </c>
      <c r="K2" s="744" t="s">
        <v>68</v>
      </c>
    </row>
    <row r="3" spans="1:13" ht="15" customHeight="1" x14ac:dyDescent="0.25">
      <c r="A3" s="4"/>
      <c r="B3" s="4"/>
      <c r="C3" s="4"/>
      <c r="D3" s="4"/>
      <c r="E3" s="4"/>
      <c r="F3" s="4"/>
      <c r="G3" s="5"/>
      <c r="H3" s="1585"/>
      <c r="I3" s="1585"/>
      <c r="J3" s="744" t="s">
        <v>60</v>
      </c>
      <c r="K3" s="744" t="s">
        <v>591</v>
      </c>
    </row>
    <row r="4" spans="1:13" ht="15" customHeight="1" x14ac:dyDescent="0.25">
      <c r="A4" s="4"/>
      <c r="B4" s="4"/>
      <c r="C4" s="4"/>
      <c r="D4" s="4"/>
      <c r="E4" s="4"/>
      <c r="F4" s="4"/>
      <c r="G4" s="5"/>
      <c r="H4" s="1586"/>
      <c r="I4" s="1586"/>
      <c r="J4" s="744" t="s">
        <v>64</v>
      </c>
      <c r="K4" s="744"/>
    </row>
    <row r="5" spans="1:13" s="38" customFormat="1" ht="16.5" customHeight="1" x14ac:dyDescent="0.25">
      <c r="A5" s="1600" t="s">
        <v>2602</v>
      </c>
      <c r="B5" s="1601"/>
      <c r="C5" s="1601"/>
      <c r="D5" s="1601"/>
      <c r="E5" s="1601"/>
      <c r="F5" s="1601"/>
      <c r="G5" s="1601"/>
      <c r="H5" s="1601"/>
      <c r="I5" s="1601"/>
      <c r="J5" s="1601"/>
      <c r="K5" s="1601"/>
      <c r="L5"/>
      <c r="M5"/>
    </row>
    <row r="6" spans="1:13" s="38" customFormat="1" ht="16.5" customHeight="1" x14ac:dyDescent="0.25">
      <c r="A6" s="1603"/>
      <c r="B6" s="1604"/>
      <c r="C6" s="1604"/>
      <c r="D6" s="1604"/>
      <c r="E6" s="1604"/>
      <c r="F6" s="1604"/>
      <c r="G6" s="1604"/>
      <c r="H6" s="1604"/>
      <c r="I6" s="1604"/>
      <c r="J6" s="1604"/>
      <c r="K6" s="1604"/>
      <c r="L6"/>
      <c r="M6"/>
    </row>
    <row r="7" spans="1:13" s="38" customFormat="1" ht="16.5" customHeight="1" x14ac:dyDescent="0.25">
      <c r="A7" s="1606"/>
      <c r="B7" s="1607"/>
      <c r="C7" s="1607"/>
      <c r="D7" s="1607"/>
      <c r="E7" s="1607"/>
      <c r="F7" s="1607"/>
      <c r="G7" s="1607"/>
      <c r="H7" s="1607"/>
      <c r="I7" s="1607"/>
      <c r="J7" s="1607"/>
      <c r="K7" s="1607"/>
      <c r="L7"/>
      <c r="M7"/>
    </row>
    <row r="8" spans="1:13" s="38" customFormat="1" ht="10.5" customHeight="1" x14ac:dyDescent="0.25">
      <c r="A8" s="49" t="s">
        <v>715</v>
      </c>
      <c r="B8" s="50"/>
      <c r="C8" s="50"/>
      <c r="D8" s="50"/>
      <c r="E8" s="50"/>
      <c r="F8" s="49"/>
      <c r="G8" s="49"/>
      <c r="H8" s="49"/>
      <c r="I8" s="49"/>
      <c r="J8" s="49"/>
      <c r="K8" s="49"/>
      <c r="L8"/>
      <c r="M8"/>
    </row>
    <row r="9" spans="1:13" ht="18" customHeight="1" x14ac:dyDescent="0.25">
      <c r="A9" s="1979" t="s">
        <v>177</v>
      </c>
      <c r="B9" s="1979"/>
      <c r="C9" s="1979"/>
      <c r="D9" s="1979"/>
      <c r="E9" s="1979"/>
      <c r="F9" s="1979"/>
      <c r="G9" s="1979"/>
      <c r="H9" s="1979"/>
      <c r="I9" s="1979"/>
      <c r="J9" s="1979"/>
      <c r="K9" s="1979"/>
    </row>
    <row r="10" spans="1:13" ht="16.5" customHeight="1" x14ac:dyDescent="0.25">
      <c r="A10" s="5"/>
      <c r="B10" s="4"/>
      <c r="C10" s="4"/>
      <c r="D10" s="4"/>
      <c r="E10" s="4"/>
      <c r="F10" s="5"/>
      <c r="G10" s="5"/>
      <c r="H10" s="5"/>
      <c r="I10" s="5"/>
      <c r="J10" s="5"/>
      <c r="K10" s="5"/>
    </row>
    <row r="11" spans="1:13" ht="19.5" customHeight="1" x14ac:dyDescent="0.25">
      <c r="A11" s="5"/>
      <c r="B11" s="1989" t="s">
        <v>178</v>
      </c>
      <c r="C11" s="1990"/>
      <c r="D11" s="1990"/>
      <c r="E11" s="1990"/>
      <c r="F11" s="437" t="s">
        <v>152</v>
      </c>
      <c r="G11" s="437" t="s">
        <v>53</v>
      </c>
      <c r="H11" s="288" t="s">
        <v>492</v>
      </c>
      <c r="I11" s="5"/>
      <c r="J11" s="5"/>
      <c r="K11" s="5"/>
    </row>
    <row r="12" spans="1:13" ht="30" customHeight="1" x14ac:dyDescent="0.25">
      <c r="A12" s="5"/>
      <c r="B12" s="1676" t="s">
        <v>1611</v>
      </c>
      <c r="C12" s="1677"/>
      <c r="D12" s="1677"/>
      <c r="E12" s="1678"/>
      <c r="F12" s="36">
        <v>2</v>
      </c>
      <c r="G12" s="294">
        <f ca="1">C62</f>
        <v>0</v>
      </c>
      <c r="H12" s="294" t="str">
        <f ca="1">C63</f>
        <v>No</v>
      </c>
      <c r="I12" s="5"/>
      <c r="J12" s="5"/>
      <c r="K12" s="5"/>
    </row>
    <row r="13" spans="1:13" ht="16.5" customHeight="1" x14ac:dyDescent="0.25">
      <c r="A13" s="5"/>
      <c r="B13" s="4"/>
      <c r="C13" s="4"/>
      <c r="D13" s="4"/>
      <c r="E13" s="4"/>
      <c r="F13" s="5"/>
      <c r="G13" s="5"/>
      <c r="H13" s="5"/>
      <c r="I13" s="5"/>
      <c r="J13" s="5"/>
      <c r="K13" s="5"/>
    </row>
    <row r="14" spans="1:13" ht="18" customHeight="1" x14ac:dyDescent="0.25">
      <c r="A14" s="1979" t="s">
        <v>245</v>
      </c>
      <c r="B14" s="1979"/>
      <c r="C14" s="1979"/>
      <c r="D14" s="1979"/>
      <c r="E14" s="1979"/>
      <c r="F14" s="1979"/>
      <c r="G14" s="1979"/>
      <c r="H14" s="1979"/>
      <c r="I14" s="1979"/>
      <c r="J14" s="1979"/>
      <c r="K14" s="1979"/>
    </row>
    <row r="15" spans="1:13" x14ac:dyDescent="0.25">
      <c r="A15" s="4"/>
      <c r="B15" s="4"/>
      <c r="C15" s="4"/>
      <c r="D15" s="4"/>
      <c r="E15" s="4"/>
      <c r="F15" s="4"/>
      <c r="G15" s="4"/>
      <c r="H15" s="4"/>
      <c r="I15" s="4"/>
      <c r="J15" s="4"/>
      <c r="K15" s="4"/>
    </row>
    <row r="16" spans="1:13" x14ac:dyDescent="0.25">
      <c r="A16" s="4"/>
      <c r="B16" s="593" t="s">
        <v>1612</v>
      </c>
      <c r="C16" s="4"/>
      <c r="D16" s="4"/>
      <c r="E16" s="4"/>
      <c r="F16" s="4"/>
      <c r="G16" s="4"/>
      <c r="H16" s="4"/>
      <c r="I16" s="4"/>
      <c r="J16" s="4"/>
      <c r="K16" s="4"/>
    </row>
    <row r="17" spans="1:11" x14ac:dyDescent="0.25">
      <c r="A17" s="4"/>
      <c r="B17" s="4"/>
      <c r="C17" s="4"/>
      <c r="D17" s="4"/>
      <c r="E17" s="4"/>
      <c r="F17" s="4"/>
      <c r="G17" s="4"/>
      <c r="H17" s="4"/>
      <c r="I17" s="4"/>
      <c r="J17" s="4"/>
      <c r="K17" s="4"/>
    </row>
    <row r="18" spans="1:11" x14ac:dyDescent="0.25">
      <c r="A18" s="4"/>
      <c r="B18" s="592" t="s">
        <v>954</v>
      </c>
      <c r="C18" s="4"/>
      <c r="D18" s="4"/>
      <c r="E18" s="4"/>
      <c r="F18" s="4"/>
      <c r="G18" s="4"/>
      <c r="H18" s="4"/>
      <c r="I18" s="4"/>
      <c r="J18" s="4"/>
      <c r="K18" s="4"/>
    </row>
    <row r="19" spans="1:11" x14ac:dyDescent="0.25">
      <c r="A19" s="4"/>
      <c r="B19" s="592" t="s">
        <v>955</v>
      </c>
      <c r="C19" s="4"/>
      <c r="D19" s="4"/>
      <c r="E19" s="4"/>
      <c r="F19" s="4"/>
      <c r="G19" s="4"/>
      <c r="H19" s="4"/>
      <c r="I19" s="4"/>
      <c r="J19" s="4"/>
      <c r="K19" s="4"/>
    </row>
    <row r="20" spans="1:11" ht="12.75" customHeight="1" x14ac:dyDescent="0.25">
      <c r="A20" s="4"/>
      <c r="B20" s="4"/>
      <c r="C20" s="4"/>
      <c r="D20" s="4"/>
      <c r="E20" s="4"/>
      <c r="F20" s="4"/>
      <c r="G20" s="4"/>
      <c r="H20" s="4"/>
      <c r="I20" s="4"/>
      <c r="J20" s="4"/>
      <c r="K20" s="4"/>
    </row>
    <row r="21" spans="1:11" x14ac:dyDescent="0.25">
      <c r="A21" s="4"/>
      <c r="B21" s="1991" t="s">
        <v>1613</v>
      </c>
      <c r="C21" s="1992"/>
      <c r="D21" s="1992"/>
      <c r="E21" s="1992"/>
      <c r="F21" s="1992"/>
      <c r="G21" s="1992"/>
      <c r="H21" s="1992"/>
      <c r="I21" s="1993"/>
      <c r="J21" s="4"/>
      <c r="K21" s="4"/>
    </row>
    <row r="22" spans="1:11" x14ac:dyDescent="0.25">
      <c r="A22" s="4"/>
      <c r="B22" s="1620" t="s">
        <v>1340</v>
      </c>
      <c r="C22" s="1621"/>
      <c r="D22" s="1621"/>
      <c r="E22" s="1621"/>
      <c r="F22" s="1621"/>
      <c r="G22" s="1621"/>
      <c r="H22" s="1621"/>
      <c r="I22" s="1622"/>
      <c r="J22" s="4"/>
      <c r="K22" s="4"/>
    </row>
    <row r="23" spans="1:11" x14ac:dyDescent="0.25">
      <c r="A23" s="4"/>
      <c r="B23" s="1620" t="s">
        <v>1321</v>
      </c>
      <c r="C23" s="1621"/>
      <c r="D23" s="1621"/>
      <c r="E23" s="1621"/>
      <c r="F23" s="1621"/>
      <c r="G23" s="1621"/>
      <c r="H23" s="1621"/>
      <c r="I23" s="1622"/>
      <c r="J23" s="4"/>
      <c r="K23" s="4"/>
    </row>
    <row r="24" spans="1:11" x14ac:dyDescent="0.25">
      <c r="A24" s="4"/>
      <c r="B24" s="1620" t="s">
        <v>764</v>
      </c>
      <c r="C24" s="1621"/>
      <c r="D24" s="1621"/>
      <c r="E24" s="1621"/>
      <c r="F24" s="1621"/>
      <c r="G24" s="1621"/>
      <c r="H24" s="1621"/>
      <c r="I24" s="1622"/>
      <c r="J24" s="4"/>
      <c r="K24" s="4"/>
    </row>
    <row r="25" spans="1:11" x14ac:dyDescent="0.25">
      <c r="A25" s="4"/>
      <c r="B25" s="1620" t="s">
        <v>751</v>
      </c>
      <c r="C25" s="1621"/>
      <c r="D25" s="1621"/>
      <c r="E25" s="1621"/>
      <c r="F25" s="1621"/>
      <c r="G25" s="1621"/>
      <c r="H25" s="1621"/>
      <c r="I25" s="1622"/>
      <c r="J25" s="4"/>
      <c r="K25" s="4"/>
    </row>
    <row r="26" spans="1:11" x14ac:dyDescent="0.25">
      <c r="A26" s="4"/>
      <c r="B26" s="1647" t="s">
        <v>960</v>
      </c>
      <c r="C26" s="1648"/>
      <c r="D26" s="1648"/>
      <c r="E26" s="1648"/>
      <c r="F26" s="1648"/>
      <c r="G26" s="1648"/>
      <c r="H26" s="1648"/>
      <c r="I26" s="1649"/>
      <c r="J26" s="4"/>
      <c r="K26" s="4"/>
    </row>
    <row r="27" spans="1:11" ht="19.5" customHeight="1" x14ac:dyDescent="0.25">
      <c r="A27" s="4"/>
      <c r="B27" s="4"/>
      <c r="C27" s="4"/>
      <c r="D27" s="4"/>
      <c r="E27" s="4"/>
      <c r="F27" s="4"/>
      <c r="G27" s="4"/>
      <c r="H27" s="4"/>
      <c r="I27" s="4"/>
      <c r="J27" s="4"/>
      <c r="K27" s="4"/>
    </row>
    <row r="28" spans="1:11" ht="18" customHeight="1" x14ac:dyDescent="0.25">
      <c r="A28" s="1979" t="s">
        <v>23</v>
      </c>
      <c r="B28" s="1979"/>
      <c r="C28" s="1979"/>
      <c r="D28" s="1979"/>
      <c r="E28" s="1979"/>
      <c r="F28" s="1979"/>
      <c r="G28" s="1979"/>
      <c r="H28" s="1979"/>
      <c r="I28" s="1979"/>
      <c r="J28" s="1979"/>
      <c r="K28" s="1979"/>
    </row>
    <row r="29" spans="1:11" x14ac:dyDescent="0.25">
      <c r="A29" s="4"/>
      <c r="B29" s="4"/>
      <c r="C29" s="4"/>
      <c r="D29" s="4"/>
      <c r="E29" s="4"/>
      <c r="F29" s="4"/>
      <c r="G29" s="4"/>
      <c r="H29" s="4"/>
      <c r="I29" s="4"/>
      <c r="J29" s="4"/>
      <c r="K29" s="4"/>
    </row>
    <row r="30" spans="1:11" x14ac:dyDescent="0.25">
      <c r="A30" s="4"/>
      <c r="B30" s="747" t="s">
        <v>1614</v>
      </c>
      <c r="C30" s="4"/>
      <c r="D30" s="4"/>
      <c r="E30" s="4"/>
      <c r="F30" s="4"/>
      <c r="G30" s="4"/>
      <c r="H30" s="4"/>
      <c r="I30" s="4"/>
      <c r="J30" s="4"/>
      <c r="K30" s="4"/>
    </row>
    <row r="31" spans="1:11" ht="18" customHeight="1" x14ac:dyDescent="0.25">
      <c r="A31" s="4"/>
      <c r="B31" s="293"/>
      <c r="C31" s="4"/>
      <c r="D31" s="4"/>
      <c r="E31" s="4"/>
      <c r="F31" s="4"/>
      <c r="G31" s="4"/>
      <c r="H31" s="4"/>
      <c r="I31" s="4"/>
      <c r="J31" s="4"/>
      <c r="K31" s="4"/>
    </row>
    <row r="32" spans="1:11" ht="15.75" customHeight="1" x14ac:dyDescent="0.25">
      <c r="A32" s="4"/>
      <c r="B32" s="747" t="s">
        <v>1615</v>
      </c>
      <c r="C32" s="4"/>
      <c r="D32" s="4"/>
      <c r="E32" s="4"/>
      <c r="F32" s="4"/>
      <c r="G32" s="4"/>
      <c r="H32" s="4"/>
      <c r="I32" s="4"/>
      <c r="J32" s="4"/>
      <c r="K32" s="4"/>
    </row>
    <row r="33" spans="1:18" ht="15.75" customHeight="1" x14ac:dyDescent="0.25">
      <c r="A33" s="4"/>
      <c r="B33" s="747" t="s">
        <v>1616</v>
      </c>
      <c r="C33" s="4"/>
      <c r="D33" s="4"/>
      <c r="E33" s="4"/>
      <c r="F33" s="4"/>
      <c r="G33" s="4"/>
      <c r="H33" s="4"/>
      <c r="I33" s="4"/>
      <c r="J33" s="4"/>
      <c r="K33" s="4"/>
    </row>
    <row r="34" spans="1:18" ht="15.75" customHeight="1" x14ac:dyDescent="0.25">
      <c r="A34" s="4"/>
      <c r="B34" s="749" t="s">
        <v>1621</v>
      </c>
      <c r="C34" s="4"/>
      <c r="D34" s="4"/>
      <c r="E34" s="4"/>
      <c r="F34" s="4"/>
      <c r="G34" s="4"/>
      <c r="H34" s="4"/>
      <c r="I34" s="4"/>
      <c r="J34" s="4"/>
      <c r="K34" s="4"/>
    </row>
    <row r="35" spans="1:18" ht="18" customHeight="1" x14ac:dyDescent="0.25">
      <c r="A35" s="4"/>
      <c r="B35" s="433"/>
      <c r="C35" s="4"/>
      <c r="D35" s="4"/>
      <c r="E35" s="4"/>
      <c r="F35" s="4"/>
      <c r="G35" s="4"/>
      <c r="H35" s="4"/>
      <c r="I35" s="4"/>
      <c r="J35" s="4"/>
      <c r="K35" s="4"/>
    </row>
    <row r="36" spans="1:18" x14ac:dyDescent="0.25">
      <c r="A36" s="4"/>
      <c r="B36" s="642" t="s">
        <v>1617</v>
      </c>
      <c r="C36" s="4"/>
      <c r="D36" s="4"/>
      <c r="E36" s="4"/>
      <c r="F36" s="4"/>
      <c r="G36" s="4"/>
      <c r="H36" s="4"/>
      <c r="I36" s="4"/>
      <c r="J36" s="4"/>
      <c r="K36" s="4"/>
    </row>
    <row r="37" spans="1:18" ht="10.5" customHeight="1" x14ac:dyDescent="0.25">
      <c r="A37" s="4"/>
      <c r="B37" s="433"/>
      <c r="C37" s="4"/>
      <c r="D37" s="4"/>
      <c r="E37" s="4"/>
      <c r="F37" s="4"/>
      <c r="G37" s="4"/>
      <c r="H37" s="4"/>
      <c r="I37" s="4"/>
      <c r="J37" s="4"/>
      <c r="K37" s="4"/>
    </row>
    <row r="38" spans="1:18" ht="19.5" customHeight="1" x14ac:dyDescent="0.25">
      <c r="A38" s="4"/>
      <c r="B38" s="431" t="s">
        <v>1618</v>
      </c>
      <c r="C38" s="432" t="s">
        <v>40</v>
      </c>
      <c r="D38" s="1987" t="s">
        <v>654</v>
      </c>
      <c r="E38" s="1987"/>
      <c r="F38" s="1987" t="s">
        <v>30</v>
      </c>
      <c r="G38" s="1988"/>
      <c r="H38" s="4"/>
      <c r="I38" s="4"/>
      <c r="J38" s="4"/>
      <c r="K38" s="4"/>
    </row>
    <row r="39" spans="1:18" ht="15.75" customHeight="1" x14ac:dyDescent="0.25">
      <c r="A39" s="4"/>
      <c r="B39" s="420"/>
      <c r="C39" s="420"/>
      <c r="D39" s="1980" t="s">
        <v>124</v>
      </c>
      <c r="E39" s="1981"/>
      <c r="F39" s="1982"/>
      <c r="G39" s="1982"/>
      <c r="H39" s="4"/>
      <c r="I39" s="4"/>
      <c r="J39" s="4"/>
      <c r="K39" s="4"/>
      <c r="L39" t="s">
        <v>124</v>
      </c>
      <c r="M39" t="s">
        <v>1337</v>
      </c>
      <c r="N39" t="s">
        <v>1336</v>
      </c>
      <c r="O39" t="s">
        <v>1338</v>
      </c>
      <c r="P39" t="s">
        <v>1339</v>
      </c>
      <c r="Q39" t="s">
        <v>1335</v>
      </c>
      <c r="R39" t="s">
        <v>9</v>
      </c>
    </row>
    <row r="40" spans="1:18" ht="15.75" customHeight="1" x14ac:dyDescent="0.25">
      <c r="A40" s="4"/>
      <c r="B40" s="524"/>
      <c r="C40" s="253"/>
      <c r="D40" s="1980" t="s">
        <v>124</v>
      </c>
      <c r="E40" s="1981"/>
      <c r="F40" s="1982"/>
      <c r="G40" s="1982"/>
      <c r="H40" s="4"/>
      <c r="I40" s="4"/>
      <c r="J40" s="4"/>
      <c r="K40" s="4"/>
    </row>
    <row r="41" spans="1:18" ht="15.75" customHeight="1" x14ac:dyDescent="0.25">
      <c r="A41" s="4"/>
      <c r="B41" s="524"/>
      <c r="C41" s="253"/>
      <c r="D41" s="1980" t="s">
        <v>124</v>
      </c>
      <c r="E41" s="1981"/>
      <c r="F41" s="1982"/>
      <c r="G41" s="1982"/>
      <c r="H41" s="4"/>
      <c r="I41" s="4"/>
      <c r="J41" s="4"/>
      <c r="K41" s="4"/>
    </row>
    <row r="42" spans="1:18" ht="15.75" customHeight="1" x14ac:dyDescent="0.25">
      <c r="A42" s="4"/>
      <c r="B42" s="524"/>
      <c r="C42" s="253"/>
      <c r="D42" s="1980" t="s">
        <v>124</v>
      </c>
      <c r="E42" s="1981"/>
      <c r="F42" s="1982"/>
      <c r="G42" s="1982"/>
      <c r="H42" s="4"/>
      <c r="I42" s="4"/>
      <c r="J42" s="4"/>
      <c r="K42" s="4"/>
    </row>
    <row r="43" spans="1:18" ht="15.75" customHeight="1" x14ac:dyDescent="0.25">
      <c r="A43" s="4"/>
      <c r="B43" s="524"/>
      <c r="C43" s="253"/>
      <c r="D43" s="1980" t="s">
        <v>124</v>
      </c>
      <c r="E43" s="1981"/>
      <c r="F43" s="1982"/>
      <c r="G43" s="1982"/>
      <c r="H43" s="4"/>
      <c r="I43" s="4"/>
      <c r="J43" s="4"/>
      <c r="K43" s="4"/>
    </row>
    <row r="44" spans="1:18" ht="15.75" customHeight="1" x14ac:dyDescent="0.25">
      <c r="A44" s="4"/>
      <c r="B44" s="524"/>
      <c r="C44" s="253"/>
      <c r="D44" s="1980" t="s">
        <v>124</v>
      </c>
      <c r="E44" s="1981"/>
      <c r="F44" s="1982"/>
      <c r="G44" s="1982"/>
      <c r="H44" s="4"/>
      <c r="I44" s="4"/>
      <c r="J44" s="4"/>
      <c r="K44" s="4"/>
    </row>
    <row r="45" spans="1:18" ht="15.75" customHeight="1" x14ac:dyDescent="0.25">
      <c r="A45" s="4"/>
      <c r="B45" s="524"/>
      <c r="C45" s="253"/>
      <c r="D45" s="1980" t="s">
        <v>124</v>
      </c>
      <c r="E45" s="1981"/>
      <c r="F45" s="1982"/>
      <c r="G45" s="1982"/>
      <c r="H45" s="4"/>
      <c r="I45" s="4"/>
      <c r="J45" s="4"/>
      <c r="K45" s="4"/>
    </row>
    <row r="46" spans="1:18" ht="15.75" customHeight="1" x14ac:dyDescent="0.25">
      <c r="A46" s="4"/>
      <c r="B46" s="524"/>
      <c r="C46" s="253"/>
      <c r="D46" s="1980" t="s">
        <v>124</v>
      </c>
      <c r="E46" s="1981"/>
      <c r="F46" s="1982"/>
      <c r="G46" s="1982"/>
      <c r="H46" s="4"/>
      <c r="I46" s="4"/>
      <c r="J46" s="4"/>
      <c r="K46" s="4"/>
    </row>
    <row r="47" spans="1:18" ht="15.75" customHeight="1" x14ac:dyDescent="0.25">
      <c r="A47" s="4"/>
      <c r="B47" s="524"/>
      <c r="C47" s="253"/>
      <c r="D47" s="1980" t="s">
        <v>124</v>
      </c>
      <c r="E47" s="1981"/>
      <c r="F47" s="1982"/>
      <c r="G47" s="1982"/>
      <c r="H47" s="4"/>
      <c r="I47" s="4"/>
      <c r="J47" s="4"/>
      <c r="K47" s="4"/>
    </row>
    <row r="48" spans="1:18" ht="15.75" customHeight="1" x14ac:dyDescent="0.25">
      <c r="A48" s="4"/>
      <c r="B48" s="524"/>
      <c r="C48" s="253"/>
      <c r="D48" s="1980" t="s">
        <v>124</v>
      </c>
      <c r="E48" s="1981"/>
      <c r="F48" s="1982"/>
      <c r="G48" s="1982"/>
      <c r="H48" s="4"/>
      <c r="I48" s="4"/>
      <c r="J48" s="4"/>
      <c r="K48" s="4"/>
    </row>
    <row r="49" spans="1:11" x14ac:dyDescent="0.25">
      <c r="A49" s="4"/>
      <c r="B49" s="4"/>
      <c r="C49" s="4"/>
      <c r="D49" s="4"/>
      <c r="E49" s="4"/>
      <c r="F49" s="4"/>
      <c r="G49" s="4"/>
      <c r="H49" s="4"/>
      <c r="I49" s="4"/>
      <c r="J49" s="4"/>
      <c r="K49" s="4"/>
    </row>
    <row r="50" spans="1:11" ht="19.5" customHeight="1" x14ac:dyDescent="0.25">
      <c r="A50" s="4"/>
      <c r="B50" s="1997" t="s">
        <v>1619</v>
      </c>
      <c r="C50" s="1997"/>
      <c r="D50" s="1997"/>
      <c r="E50" s="1339">
        <f ca="1">E51-SUMIF(D39:E48,"Select",C39:C48)-SUMIF(D39:E48,"No",C39:C48)</f>
        <v>0</v>
      </c>
      <c r="F50" s="4"/>
      <c r="G50" s="4"/>
      <c r="H50" s="4"/>
      <c r="I50" s="4"/>
      <c r="J50" s="4"/>
      <c r="K50" s="4"/>
    </row>
    <row r="51" spans="1:11" ht="19.5" customHeight="1" x14ac:dyDescent="0.25">
      <c r="A51" s="4"/>
      <c r="B51" s="1997" t="s">
        <v>1620</v>
      </c>
      <c r="C51" s="1997"/>
      <c r="D51" s="1997"/>
      <c r="E51" s="1339">
        <f>SUM(C39:C48)</f>
        <v>0</v>
      </c>
      <c r="F51" s="4"/>
      <c r="G51" s="4"/>
      <c r="H51" s="4"/>
      <c r="I51" s="4"/>
      <c r="J51" s="4"/>
      <c r="K51" s="4"/>
    </row>
    <row r="52" spans="1:11" ht="19.5" customHeight="1" x14ac:dyDescent="0.25">
      <c r="A52" s="4"/>
      <c r="B52" s="1997" t="s">
        <v>1610</v>
      </c>
      <c r="C52" s="1997"/>
      <c r="D52" s="1997"/>
      <c r="E52" s="1340">
        <f ca="1">IFERROR((E50/E51),0)</f>
        <v>0</v>
      </c>
      <c r="F52" s="4"/>
      <c r="G52" s="4"/>
      <c r="H52" s="4"/>
      <c r="I52" s="4"/>
      <c r="J52" s="4"/>
      <c r="K52" s="4"/>
    </row>
    <row r="53" spans="1:11" ht="19.5" customHeight="1" x14ac:dyDescent="0.25">
      <c r="A53" s="4"/>
      <c r="B53" s="4"/>
      <c r="C53" s="4"/>
      <c r="D53" s="4"/>
      <c r="E53" s="4"/>
      <c r="F53" s="4"/>
      <c r="G53" s="4"/>
      <c r="H53" s="4"/>
      <c r="I53" s="4"/>
      <c r="J53" s="4"/>
      <c r="K53" s="4"/>
    </row>
    <row r="54" spans="1:11" ht="18" customHeight="1" x14ac:dyDescent="0.25">
      <c r="A54" s="1979" t="s">
        <v>186</v>
      </c>
      <c r="B54" s="1979"/>
      <c r="C54" s="1979"/>
      <c r="D54" s="1979"/>
      <c r="E54" s="1979"/>
      <c r="F54" s="1979"/>
      <c r="G54" s="1979"/>
      <c r="H54" s="1979"/>
      <c r="I54" s="1979"/>
      <c r="J54" s="1979"/>
      <c r="K54" s="1979"/>
    </row>
    <row r="55" spans="1:11" x14ac:dyDescent="0.25">
      <c r="A55" s="4"/>
      <c r="B55" s="4"/>
      <c r="C55" s="4"/>
      <c r="D55" s="4"/>
      <c r="E55" s="4"/>
      <c r="F55" s="4"/>
      <c r="G55" s="4"/>
      <c r="H55" s="4"/>
      <c r="I55" s="4"/>
      <c r="J55" s="4"/>
      <c r="K55" s="4"/>
    </row>
    <row r="56" spans="1:11" ht="18" customHeight="1" x14ac:dyDescent="0.25">
      <c r="A56" s="4"/>
      <c r="B56" s="1985" t="s">
        <v>1739</v>
      </c>
      <c r="C56" s="1986"/>
      <c r="D56" s="1986"/>
      <c r="E56" s="1986"/>
      <c r="F56" s="1986"/>
      <c r="G56" s="1168" t="s">
        <v>1737</v>
      </c>
      <c r="H56" s="1987" t="s">
        <v>1738</v>
      </c>
      <c r="I56" s="1988"/>
      <c r="J56" s="4"/>
      <c r="K56" s="4"/>
    </row>
    <row r="57" spans="1:11" ht="23.25" customHeight="1" x14ac:dyDescent="0.25">
      <c r="A57" s="4"/>
      <c r="B57" s="1576" t="s">
        <v>1523</v>
      </c>
      <c r="C57" s="1577"/>
      <c r="D57" s="1577"/>
      <c r="E57" s="1577"/>
      <c r="F57" s="1578"/>
      <c r="G57" s="1164" t="s">
        <v>124</v>
      </c>
      <c r="H57" s="1587"/>
      <c r="I57" s="1588"/>
      <c r="J57" s="4"/>
      <c r="K57" s="4"/>
    </row>
    <row r="58" spans="1:11" ht="23.25" customHeight="1" x14ac:dyDescent="0.25">
      <c r="A58" s="4"/>
      <c r="B58" s="1576" t="s">
        <v>1524</v>
      </c>
      <c r="C58" s="1577"/>
      <c r="D58" s="1577"/>
      <c r="E58" s="1577"/>
      <c r="F58" s="1578"/>
      <c r="G58" s="1164" t="s">
        <v>124</v>
      </c>
      <c r="H58" s="1587"/>
      <c r="I58" s="1588"/>
      <c r="J58" s="4"/>
      <c r="K58" s="4"/>
    </row>
    <row r="59" spans="1:11" ht="19.5" customHeight="1" x14ac:dyDescent="0.25">
      <c r="A59" s="4"/>
      <c r="B59" s="4"/>
      <c r="C59" s="4"/>
      <c r="D59" s="4"/>
      <c r="E59" s="4"/>
      <c r="F59" s="4"/>
      <c r="G59" s="4"/>
      <c r="H59" s="4"/>
      <c r="I59" s="4"/>
      <c r="J59" s="4"/>
      <c r="K59" s="4"/>
    </row>
    <row r="60" spans="1:11" ht="18" customHeight="1" x14ac:dyDescent="0.25">
      <c r="A60" s="1979" t="s">
        <v>22</v>
      </c>
      <c r="B60" s="1979"/>
      <c r="C60" s="1979"/>
      <c r="D60" s="1979"/>
      <c r="E60" s="1979"/>
      <c r="F60" s="1979"/>
      <c r="G60" s="1979"/>
      <c r="H60" s="1979"/>
      <c r="I60" s="1979"/>
      <c r="J60" s="1979"/>
      <c r="K60" s="1979"/>
    </row>
    <row r="61" spans="1:11" ht="16.5" customHeight="1" x14ac:dyDescent="0.25">
      <c r="A61" s="4"/>
      <c r="B61" s="4"/>
      <c r="C61" s="4"/>
      <c r="D61" s="4"/>
      <c r="E61" s="4"/>
      <c r="F61" s="4"/>
      <c r="G61" s="4"/>
      <c r="H61" s="4"/>
      <c r="I61" s="4"/>
      <c r="J61" s="4"/>
      <c r="K61" s="4"/>
    </row>
    <row r="62" spans="1:11" ht="18" customHeight="1" x14ac:dyDescent="0.25">
      <c r="A62" s="4"/>
      <c r="B62" s="290" t="s">
        <v>53</v>
      </c>
      <c r="C62" s="1335">
        <f ca="1">IF(E52&gt;=0.8,2,IF(E52&gt;=0.4,1,0))</f>
        <v>0</v>
      </c>
      <c r="D62" s="4"/>
      <c r="E62" s="4"/>
      <c r="F62" s="4"/>
      <c r="G62" s="4"/>
      <c r="H62" s="4"/>
      <c r="I62" s="4"/>
      <c r="J62" s="4"/>
      <c r="K62" s="4"/>
    </row>
    <row r="63" spans="1:11" ht="18" customHeight="1" x14ac:dyDescent="0.25">
      <c r="A63" s="4"/>
      <c r="B63" s="291" t="s">
        <v>492</v>
      </c>
      <c r="C63" s="1335" t="str">
        <f ca="1">IF(AND(COUNTIF(G57:G58,"Submitted")=2,C62&gt;0),"Yes","No")</f>
        <v>No</v>
      </c>
      <c r="D63" s="4"/>
      <c r="E63" s="4"/>
      <c r="F63" s="4"/>
      <c r="G63" s="4"/>
      <c r="H63" s="4"/>
      <c r="I63" s="4"/>
      <c r="J63" s="4"/>
      <c r="K63" s="4"/>
    </row>
    <row r="64" spans="1:11" ht="14.25" customHeight="1" x14ac:dyDescent="0.25">
      <c r="A64" s="4"/>
      <c r="B64" s="4"/>
      <c r="C64" s="4"/>
      <c r="D64" s="4"/>
      <c r="E64" s="4"/>
      <c r="F64" s="4"/>
      <c r="G64" s="4"/>
      <c r="H64" s="4"/>
      <c r="I64" s="4"/>
      <c r="J64" s="4"/>
      <c r="K64" s="4"/>
    </row>
    <row r="65" spans="1:11" ht="14.25" customHeight="1" x14ac:dyDescent="0.25">
      <c r="A65" s="4"/>
      <c r="B65" s="4"/>
      <c r="C65" s="4"/>
      <c r="D65" s="4"/>
      <c r="E65" s="4"/>
      <c r="F65" s="4"/>
      <c r="G65" s="4"/>
      <c r="H65" s="4"/>
      <c r="I65" s="4"/>
      <c r="J65" s="4"/>
      <c r="K65" s="4"/>
    </row>
    <row r="66" spans="1:11" hidden="1" x14ac:dyDescent="0.25">
      <c r="A66" s="4"/>
      <c r="B66" s="4"/>
      <c r="C66" s="4"/>
      <c r="D66" s="4"/>
      <c r="E66" s="4"/>
      <c r="F66" s="4"/>
      <c r="G66" s="4"/>
      <c r="H66" s="4"/>
      <c r="I66" s="4"/>
      <c r="J66" s="4"/>
      <c r="K66" s="4"/>
    </row>
    <row r="67" spans="1:11" ht="15" hidden="1" customHeight="1" x14ac:dyDescent="0.25"/>
    <row r="68" spans="1:11" ht="15" hidden="1" customHeight="1" x14ac:dyDescent="0.25"/>
    <row r="69" spans="1:11" ht="15" hidden="1" customHeight="1" x14ac:dyDescent="0.25"/>
    <row r="70" spans="1:11" ht="15" hidden="1" customHeight="1" x14ac:dyDescent="0.25"/>
    <row r="71" spans="1:11" ht="15" hidden="1" customHeight="1" x14ac:dyDescent="0.25"/>
    <row r="72" spans="1:11" ht="15" hidden="1" customHeight="1" x14ac:dyDescent="0.25"/>
    <row r="73" spans="1:11" ht="15" hidden="1" customHeight="1" x14ac:dyDescent="0.25"/>
    <row r="74" spans="1:11" ht="15" hidden="1" customHeight="1" x14ac:dyDescent="0.25"/>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sheetData>
  <sheetProtection algorithmName="SHA-512" hashValue="Oqilb6sl9YEU7gS18pXLznn2vhfAhVr//teiHTRvHzMb7UPwZCzdC8b3qNwKI0JkaxrgWTEn61PJfFc0jEdogg==" saltValue="NR3C3WPCFJdKMXBKF4UqHQ==" spinCount="100000" sheet="1" objects="1" scenarios="1"/>
  <mergeCells count="47">
    <mergeCell ref="B26:I26"/>
    <mergeCell ref="A1:K1"/>
    <mergeCell ref="B21:I21"/>
    <mergeCell ref="B22:I22"/>
    <mergeCell ref="B23:I23"/>
    <mergeCell ref="B24:I24"/>
    <mergeCell ref="H2:I4"/>
    <mergeCell ref="A5:K7"/>
    <mergeCell ref="B11:E11"/>
    <mergeCell ref="B12:E12"/>
    <mergeCell ref="A60:K60"/>
    <mergeCell ref="A14:K14"/>
    <mergeCell ref="A9:K9"/>
    <mergeCell ref="A28:K28"/>
    <mergeCell ref="A54:K54"/>
    <mergeCell ref="B58:F58"/>
    <mergeCell ref="B50:D50"/>
    <mergeCell ref="B51:D51"/>
    <mergeCell ref="B52:D52"/>
    <mergeCell ref="B57:F57"/>
    <mergeCell ref="D47:E47"/>
    <mergeCell ref="F47:G47"/>
    <mergeCell ref="D48:E48"/>
    <mergeCell ref="F48:G48"/>
    <mergeCell ref="D44:E44"/>
    <mergeCell ref="B25:I25"/>
    <mergeCell ref="D43:E43"/>
    <mergeCell ref="F43:G43"/>
    <mergeCell ref="D38:E38"/>
    <mergeCell ref="F38:G38"/>
    <mergeCell ref="D39:E39"/>
    <mergeCell ref="F39:G39"/>
    <mergeCell ref="D40:E40"/>
    <mergeCell ref="F40:G40"/>
    <mergeCell ref="D41:E41"/>
    <mergeCell ref="F41:G41"/>
    <mergeCell ref="D42:E42"/>
    <mergeCell ref="F42:G42"/>
    <mergeCell ref="B56:F56"/>
    <mergeCell ref="H56:I56"/>
    <mergeCell ref="H57:I57"/>
    <mergeCell ref="H58:I58"/>
    <mergeCell ref="F44:G44"/>
    <mergeCell ref="D45:E45"/>
    <mergeCell ref="F45:G45"/>
    <mergeCell ref="D46:E46"/>
    <mergeCell ref="F46:G46"/>
  </mergeCells>
  <conditionalFormatting sqref="F12">
    <cfRule type="expression" dxfId="184" priority="20">
      <formula>OR(#REF!="No",#REF!="Không")</formula>
    </cfRule>
  </conditionalFormatting>
  <conditionalFormatting sqref="F12">
    <cfRule type="expression" dxfId="183" priority="21">
      <formula>OR($D12="No",$D12="Không")</formula>
    </cfRule>
    <cfRule type="expression" dxfId="182" priority="22">
      <formula>OR(#REF!="No",#REF!="Không")</formula>
    </cfRule>
  </conditionalFormatting>
  <conditionalFormatting sqref="B12">
    <cfRule type="expression" dxfId="181" priority="15">
      <formula>OR(#REF!="No",#REF!="Không")</formula>
    </cfRule>
  </conditionalFormatting>
  <conditionalFormatting sqref="B12">
    <cfRule type="expression" dxfId="180" priority="16">
      <formula>OR($D12="No",$D12="Không")</formula>
    </cfRule>
    <cfRule type="expression" dxfId="179" priority="17">
      <formula>OR(#REF!="No",#REF!="Không")</formula>
    </cfRule>
  </conditionalFormatting>
  <conditionalFormatting sqref="G57:G58">
    <cfRule type="expression" dxfId="178" priority="4">
      <formula>#REF!&lt;&gt;"Prescriptive Path"</formula>
    </cfRule>
  </conditionalFormatting>
  <conditionalFormatting sqref="H56:I56">
    <cfRule type="expression" dxfId="177" priority="3">
      <formula>#REF!&lt;&gt;"Prescriptive Path"</formula>
    </cfRule>
  </conditionalFormatting>
  <conditionalFormatting sqref="I57">
    <cfRule type="expression" dxfId="176" priority="2">
      <formula>#REF!&lt;&gt;"Prescriptive Path"</formula>
    </cfRule>
  </conditionalFormatting>
  <conditionalFormatting sqref="I58">
    <cfRule type="expression" dxfId="175" priority="1">
      <formula>#REF!&lt;&gt;"Prescriptive Path"</formula>
    </cfRule>
  </conditionalFormatting>
  <dataValidations disablePrompts="1" count="5">
    <dataValidation allowBlank="1" showInputMessage="1" showErrorMessage="1" prompt="Provide more details on the flooring material used" sqref="F38:G38" xr:uid="{00000000-0002-0000-1E00-000000000000}"/>
    <dataValidation type="list" allowBlank="1" showInputMessage="1" showErrorMessage="1" sqref="D39:E48" xr:uid="{00000000-0002-0000-1E00-000001000000}">
      <formula1>$L$39:$R$39</formula1>
    </dataValidation>
    <dataValidation type="list" allowBlank="1" showInputMessage="1" showErrorMessage="1" sqref="G57:G58" xr:uid="{00000000-0002-0000-1E00-000002000000}">
      <formula1>"Select,Submitted,Not submitted"</formula1>
    </dataValidation>
    <dataValidation allowBlank="1" showInputMessage="1" showErrorMessage="1" prompt="Enter the name of the roofing item" sqref="B39:B48" xr:uid="{00000000-0002-0000-1E00-000003000000}"/>
    <dataValidation allowBlank="1" showInputMessage="1" showErrorMessage="1" prompt="Provide more details on the sustainable feature of the roof covering item" sqref="F39:G48" xr:uid="{00000000-0002-0000-1E00-000004000000}"/>
  </dataValidations>
  <hyperlinks>
    <hyperlink ref="J4" location="'M-3 Windows and doors'!D3" tooltip="M-3" display="M-3" xr:uid="{00000000-0004-0000-1E00-000000000000}"/>
    <hyperlink ref="J3" location="'M-2 Non-structural walls'!D3" tooltip="M-2" display="M-2" xr:uid="{00000000-0004-0000-1E00-000001000000}"/>
    <hyperlink ref="K2" location="'M-4 Flooring materials'!D3" tooltip="M-4" display="M-4" xr:uid="{00000000-0004-0000-1E00-000002000000}"/>
    <hyperlink ref="K3" location="'M-6 Furniture'!D3" tooltip="M-6" display="M-6" xr:uid="{00000000-0004-0000-1E00-000003000000}"/>
    <hyperlink ref="J2" location="'M-1 Structure Materials'!D3" tooltip="M-1" display="M-1" xr:uid="{00000000-0004-0000-1E00-000004000000}"/>
  </hyperlinks>
  <pageMargins left="0.7" right="0.7" top="0.75" bottom="0.75" header="0.3" footer="0.3"/>
  <pageSetup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8">
    <tabColor rgb="FF5F4970"/>
  </sheetPr>
  <dimension ref="A1:M131"/>
  <sheetViews>
    <sheetView showRowColHeaders="0" zoomScaleNormal="100" workbookViewId="0">
      <pane ySplit="8" topLeftCell="A9" activePane="bottomLeft" state="frozen"/>
      <selection pane="bottomLeft" activeCell="A9" sqref="A9:K9"/>
    </sheetView>
  </sheetViews>
  <sheetFormatPr defaultColWidth="0" defaultRowHeight="15" customHeight="1" zeroHeight="1" x14ac:dyDescent="0.25"/>
  <cols>
    <col min="1" max="1" width="3.7109375" customWidth="1"/>
    <col min="2" max="2" width="23.140625" customWidth="1"/>
    <col min="3" max="3" width="21.5703125" customWidth="1"/>
    <col min="4" max="4" width="18.7109375" customWidth="1"/>
    <col min="5" max="5" width="17.42578125" customWidth="1"/>
    <col min="6" max="7" width="19" customWidth="1"/>
    <col min="8" max="8" width="18.42578125" customWidth="1"/>
    <col min="9" max="9" width="9.85546875" customWidth="1"/>
    <col min="10" max="11" width="8.7109375" customWidth="1"/>
    <col min="12" max="16384" width="9.140625" hidden="1"/>
  </cols>
  <sheetData>
    <row r="1" spans="1:13" ht="25.5" customHeight="1" x14ac:dyDescent="0.25">
      <c r="A1" s="1996" t="s">
        <v>756</v>
      </c>
      <c r="B1" s="1996"/>
      <c r="C1" s="1996"/>
      <c r="D1" s="1996"/>
      <c r="E1" s="1996"/>
      <c r="F1" s="1996"/>
      <c r="G1" s="1996"/>
      <c r="H1" s="1996"/>
      <c r="I1" s="1996"/>
      <c r="J1" s="1996"/>
      <c r="K1" s="1996"/>
    </row>
    <row r="2" spans="1:13" ht="15" customHeight="1" x14ac:dyDescent="0.25">
      <c r="A2" s="4"/>
      <c r="B2" s="4"/>
      <c r="C2" s="4"/>
      <c r="D2" s="4"/>
      <c r="E2" s="4"/>
      <c r="F2" s="4"/>
      <c r="G2" s="5"/>
      <c r="H2" s="1585" t="s">
        <v>1743</v>
      </c>
      <c r="I2" s="1585"/>
      <c r="J2" s="744" t="s">
        <v>56</v>
      </c>
      <c r="K2" s="744" t="s">
        <v>68</v>
      </c>
    </row>
    <row r="3" spans="1:13" ht="15" customHeight="1" x14ac:dyDescent="0.25">
      <c r="A3" s="4"/>
      <c r="B3" s="4"/>
      <c r="C3" s="4"/>
      <c r="D3" s="4"/>
      <c r="E3" s="4"/>
      <c r="F3" s="4"/>
      <c r="G3" s="5"/>
      <c r="H3" s="1585"/>
      <c r="I3" s="1585"/>
      <c r="J3" s="744" t="s">
        <v>60</v>
      </c>
      <c r="K3" s="744" t="s">
        <v>72</v>
      </c>
    </row>
    <row r="4" spans="1:13" ht="15" customHeight="1" x14ac:dyDescent="0.25">
      <c r="A4" s="4"/>
      <c r="B4" s="4"/>
      <c r="C4" s="4"/>
      <c r="D4" s="4"/>
      <c r="E4" s="4"/>
      <c r="F4" s="4"/>
      <c r="G4" s="5"/>
      <c r="H4" s="1586"/>
      <c r="I4" s="1586"/>
      <c r="J4" s="744" t="s">
        <v>64</v>
      </c>
      <c r="K4" s="744"/>
    </row>
    <row r="5" spans="1:13" s="38" customFormat="1" ht="16.5" customHeight="1" x14ac:dyDescent="0.25">
      <c r="A5" s="1600" t="s">
        <v>2603</v>
      </c>
      <c r="B5" s="1601"/>
      <c r="C5" s="1601"/>
      <c r="D5" s="1601"/>
      <c r="E5" s="1601"/>
      <c r="F5" s="1601"/>
      <c r="G5" s="1601"/>
      <c r="H5" s="1601"/>
      <c r="I5" s="1601"/>
      <c r="J5" s="1601"/>
      <c r="K5" s="1601"/>
      <c r="L5" s="172"/>
      <c r="M5" s="173"/>
    </row>
    <row r="6" spans="1:13" s="38" customFormat="1" ht="16.5" customHeight="1" x14ac:dyDescent="0.25">
      <c r="A6" s="1603"/>
      <c r="B6" s="1604"/>
      <c r="C6" s="1604"/>
      <c r="D6" s="1604"/>
      <c r="E6" s="1604"/>
      <c r="F6" s="1604"/>
      <c r="G6" s="1604"/>
      <c r="H6" s="1604"/>
      <c r="I6" s="1604"/>
      <c r="J6" s="1604"/>
      <c r="K6" s="1604"/>
      <c r="L6" s="174"/>
      <c r="M6" s="175"/>
    </row>
    <row r="7" spans="1:13" s="38" customFormat="1" ht="16.5" customHeight="1" x14ac:dyDescent="0.25">
      <c r="A7" s="1606"/>
      <c r="B7" s="1607"/>
      <c r="C7" s="1607"/>
      <c r="D7" s="1607"/>
      <c r="E7" s="1607"/>
      <c r="F7" s="1607"/>
      <c r="G7" s="1607"/>
      <c r="H7" s="1607"/>
      <c r="I7" s="1607"/>
      <c r="J7" s="1607"/>
      <c r="K7" s="1607"/>
      <c r="L7" s="176"/>
      <c r="M7" s="177"/>
    </row>
    <row r="8" spans="1:13" s="38" customFormat="1" ht="10.5" customHeight="1" x14ac:dyDescent="0.25">
      <c r="A8" s="49"/>
      <c r="B8" s="50"/>
      <c r="C8" s="50"/>
      <c r="D8" s="50"/>
      <c r="E8" s="50"/>
      <c r="F8" s="49"/>
      <c r="G8" s="49"/>
      <c r="H8" s="49"/>
      <c r="I8" s="49"/>
      <c r="J8" s="49"/>
      <c r="K8" s="49"/>
      <c r="L8" s="49"/>
      <c r="M8" s="49"/>
    </row>
    <row r="9" spans="1:13" ht="18" customHeight="1" x14ac:dyDescent="0.25">
      <c r="A9" s="1979" t="s">
        <v>177</v>
      </c>
      <c r="B9" s="1979"/>
      <c r="C9" s="1979"/>
      <c r="D9" s="1979"/>
      <c r="E9" s="1979"/>
      <c r="F9" s="1979"/>
      <c r="G9" s="1979"/>
      <c r="H9" s="1979"/>
      <c r="I9" s="1979"/>
      <c r="J9" s="1979"/>
      <c r="K9" s="1979"/>
    </row>
    <row r="10" spans="1:13" ht="16.5" customHeight="1" x14ac:dyDescent="0.25">
      <c r="A10" s="5"/>
      <c r="B10" s="4"/>
      <c r="C10" s="4"/>
      <c r="D10" s="4"/>
      <c r="E10" s="4"/>
      <c r="F10" s="5"/>
      <c r="G10" s="5"/>
      <c r="H10" s="5"/>
      <c r="I10" s="5"/>
      <c r="J10" s="5"/>
      <c r="K10" s="5"/>
    </row>
    <row r="11" spans="1:13" ht="19.5" customHeight="1" x14ac:dyDescent="0.25">
      <c r="A11" s="5"/>
      <c r="B11" s="1989" t="s">
        <v>178</v>
      </c>
      <c r="C11" s="1990"/>
      <c r="D11" s="1990"/>
      <c r="E11" s="1990"/>
      <c r="F11" s="437" t="s">
        <v>152</v>
      </c>
      <c r="G11" s="437" t="s">
        <v>53</v>
      </c>
      <c r="H11" s="288" t="s">
        <v>492</v>
      </c>
      <c r="I11" s="5"/>
      <c r="J11" s="5"/>
      <c r="K11" s="5"/>
    </row>
    <row r="12" spans="1:13" ht="30" customHeight="1" x14ac:dyDescent="0.25">
      <c r="A12" s="5"/>
      <c r="B12" s="2002" t="s">
        <v>1326</v>
      </c>
      <c r="C12" s="2003"/>
      <c r="D12" s="2003"/>
      <c r="E12" s="2004"/>
      <c r="F12" s="436">
        <v>2</v>
      </c>
      <c r="G12" s="434">
        <f>C61</f>
        <v>0</v>
      </c>
      <c r="H12" s="435" t="str">
        <f>C62</f>
        <v>No</v>
      </c>
      <c r="I12" s="5"/>
      <c r="J12" s="5"/>
      <c r="K12" s="5"/>
    </row>
    <row r="13" spans="1:13" ht="16.5" customHeight="1" x14ac:dyDescent="0.25">
      <c r="A13" s="5"/>
      <c r="B13" s="4"/>
      <c r="C13" s="4"/>
      <c r="D13" s="4"/>
      <c r="E13" s="4"/>
      <c r="F13" s="5"/>
      <c r="G13" s="5"/>
      <c r="H13" s="5"/>
      <c r="I13" s="5"/>
      <c r="J13" s="5"/>
      <c r="K13" s="5"/>
    </row>
    <row r="14" spans="1:13" ht="18" customHeight="1" x14ac:dyDescent="0.25">
      <c r="A14" s="1979" t="s">
        <v>245</v>
      </c>
      <c r="B14" s="1979"/>
      <c r="C14" s="1979"/>
      <c r="D14" s="1979"/>
      <c r="E14" s="1979"/>
      <c r="F14" s="1979"/>
      <c r="G14" s="1979"/>
      <c r="H14" s="1979"/>
      <c r="I14" s="1979"/>
      <c r="J14" s="1979"/>
      <c r="K14" s="1979"/>
    </row>
    <row r="15" spans="1:13" x14ac:dyDescent="0.25">
      <c r="A15" s="4"/>
      <c r="B15" s="4"/>
      <c r="C15" s="4"/>
      <c r="D15" s="4"/>
      <c r="E15" s="4"/>
      <c r="F15" s="4"/>
      <c r="G15" s="4"/>
      <c r="H15" s="4"/>
      <c r="I15" s="4"/>
      <c r="J15" s="4"/>
      <c r="K15" s="4"/>
    </row>
    <row r="16" spans="1:13" x14ac:dyDescent="0.25">
      <c r="A16" s="4"/>
      <c r="B16" s="593" t="s">
        <v>1325</v>
      </c>
      <c r="C16" s="4"/>
      <c r="D16" s="4"/>
      <c r="E16" s="4"/>
      <c r="F16" s="4"/>
      <c r="G16" s="4"/>
      <c r="H16" s="4"/>
      <c r="I16" s="4"/>
      <c r="J16" s="4"/>
      <c r="K16" s="4"/>
    </row>
    <row r="17" spans="1:12" ht="18.75" customHeight="1" x14ac:dyDescent="0.25">
      <c r="A17" s="4"/>
      <c r="B17" s="4"/>
      <c r="C17" s="4"/>
      <c r="D17" s="4"/>
      <c r="E17" s="4"/>
      <c r="F17" s="4"/>
      <c r="G17" s="4"/>
      <c r="H17" s="4"/>
      <c r="I17" s="4"/>
      <c r="J17" s="4"/>
      <c r="K17" s="4"/>
    </row>
    <row r="18" spans="1:12" x14ac:dyDescent="0.25">
      <c r="A18" s="4"/>
      <c r="B18" s="592" t="s">
        <v>887</v>
      </c>
      <c r="C18" s="4"/>
      <c r="D18" s="4"/>
      <c r="E18" s="4"/>
      <c r="F18" s="4"/>
      <c r="G18" s="4"/>
      <c r="H18" s="4"/>
      <c r="I18" s="4"/>
      <c r="J18" s="4"/>
      <c r="K18" s="4"/>
    </row>
    <row r="19" spans="1:12" x14ac:dyDescent="0.25">
      <c r="A19" s="4"/>
      <c r="B19" s="4"/>
      <c r="C19" s="4"/>
      <c r="D19" s="4"/>
      <c r="E19" s="4"/>
      <c r="F19" s="4"/>
      <c r="G19" s="4"/>
      <c r="H19" s="4"/>
      <c r="I19" s="4"/>
      <c r="J19" s="4"/>
      <c r="K19" s="4"/>
    </row>
    <row r="20" spans="1:12" x14ac:dyDescent="0.25">
      <c r="A20" s="4"/>
      <c r="B20" s="1991" t="s">
        <v>760</v>
      </c>
      <c r="C20" s="1992"/>
      <c r="D20" s="1992"/>
      <c r="E20" s="1992"/>
      <c r="F20" s="1992"/>
      <c r="G20" s="1992"/>
      <c r="H20" s="1992"/>
      <c r="I20" s="1993"/>
      <c r="J20" s="4"/>
      <c r="K20" s="4"/>
    </row>
    <row r="21" spans="1:12" x14ac:dyDescent="0.25">
      <c r="A21" s="4"/>
      <c r="B21" s="1620" t="s">
        <v>2018</v>
      </c>
      <c r="C21" s="1621"/>
      <c r="D21" s="1621"/>
      <c r="E21" s="1621"/>
      <c r="F21" s="1621"/>
      <c r="G21" s="1621"/>
      <c r="H21" s="1621"/>
      <c r="I21" s="1622"/>
      <c r="J21" s="4"/>
      <c r="K21" s="4"/>
    </row>
    <row r="22" spans="1:12" x14ac:dyDescent="0.25">
      <c r="A22" s="4"/>
      <c r="B22" s="1620" t="s">
        <v>758</v>
      </c>
      <c r="C22" s="1621"/>
      <c r="D22" s="1621"/>
      <c r="E22" s="1621"/>
      <c r="F22" s="1621"/>
      <c r="G22" s="1621"/>
      <c r="H22" s="1621"/>
      <c r="I22" s="1622"/>
      <c r="J22" s="4"/>
      <c r="K22" s="4"/>
    </row>
    <row r="23" spans="1:12" x14ac:dyDescent="0.25">
      <c r="A23" s="4"/>
      <c r="B23" s="1620" t="s">
        <v>1541</v>
      </c>
      <c r="C23" s="1621"/>
      <c r="D23" s="1621"/>
      <c r="E23" s="1621"/>
      <c r="F23" s="1621"/>
      <c r="G23" s="1621"/>
      <c r="H23" s="1621"/>
      <c r="I23" s="1622"/>
      <c r="J23" s="4"/>
      <c r="K23" s="4"/>
    </row>
    <row r="24" spans="1:12" x14ac:dyDescent="0.25">
      <c r="A24" s="4"/>
      <c r="B24" s="1647" t="s">
        <v>1542</v>
      </c>
      <c r="C24" s="1648"/>
      <c r="D24" s="1648"/>
      <c r="E24" s="1648"/>
      <c r="F24" s="1648"/>
      <c r="G24" s="1648"/>
      <c r="H24" s="1648"/>
      <c r="I24" s="1649"/>
      <c r="J24" s="4"/>
      <c r="K24" s="4"/>
    </row>
    <row r="25" spans="1:12" ht="19.5" customHeight="1" x14ac:dyDescent="0.25">
      <c r="A25" s="4"/>
      <c r="B25" s="4"/>
      <c r="C25" s="4"/>
      <c r="D25" s="4"/>
      <c r="E25" s="4"/>
      <c r="F25" s="4"/>
      <c r="G25" s="4"/>
      <c r="H25" s="4"/>
      <c r="I25" s="4"/>
      <c r="J25" s="4"/>
      <c r="K25" s="4"/>
    </row>
    <row r="26" spans="1:12" ht="18" customHeight="1" x14ac:dyDescent="0.25">
      <c r="A26" s="1979" t="s">
        <v>23</v>
      </c>
      <c r="B26" s="1979"/>
      <c r="C26" s="1979"/>
      <c r="D26" s="1979"/>
      <c r="E26" s="1979"/>
      <c r="F26" s="1979"/>
      <c r="G26" s="1979"/>
      <c r="H26" s="1979"/>
      <c r="I26" s="1979"/>
      <c r="J26" s="1979"/>
      <c r="K26" s="1979"/>
    </row>
    <row r="27" spans="1:12" x14ac:dyDescent="0.25">
      <c r="A27" s="4"/>
      <c r="B27" s="4"/>
      <c r="C27" s="4"/>
      <c r="D27" s="4"/>
      <c r="E27" s="4"/>
      <c r="F27" s="4"/>
      <c r="G27" s="4"/>
      <c r="H27" s="4"/>
      <c r="I27" s="4"/>
      <c r="J27" s="4"/>
      <c r="K27" s="4"/>
    </row>
    <row r="28" spans="1:12" x14ac:dyDescent="0.25">
      <c r="A28" s="4"/>
      <c r="B28" s="747" t="s">
        <v>1323</v>
      </c>
      <c r="C28" s="4"/>
      <c r="D28" s="4"/>
      <c r="E28" s="4"/>
      <c r="F28" s="4"/>
      <c r="G28" s="4"/>
      <c r="H28" s="4"/>
      <c r="I28" s="4"/>
      <c r="J28" s="4"/>
      <c r="K28" s="4"/>
    </row>
    <row r="29" spans="1:12" ht="18.75" customHeight="1" x14ac:dyDescent="0.25">
      <c r="A29" s="4"/>
      <c r="B29" s="875"/>
      <c r="C29" s="4"/>
      <c r="D29" s="4"/>
      <c r="E29" s="4"/>
      <c r="F29" s="4"/>
      <c r="G29" s="4"/>
      <c r="H29" s="4"/>
      <c r="I29" s="4"/>
      <c r="J29" s="4"/>
      <c r="K29" s="4"/>
    </row>
    <row r="30" spans="1:12" x14ac:dyDescent="0.25">
      <c r="A30" s="4"/>
      <c r="B30" s="642" t="s">
        <v>1105</v>
      </c>
      <c r="C30" s="4"/>
      <c r="D30" s="4"/>
      <c r="E30" s="4"/>
      <c r="F30" s="4"/>
      <c r="G30" s="4"/>
      <c r="H30" s="4"/>
      <c r="I30" s="4"/>
      <c r="J30" s="4"/>
      <c r="K30" s="4"/>
    </row>
    <row r="31" spans="1:12" ht="9.75" customHeight="1" x14ac:dyDescent="0.25">
      <c r="A31" s="4"/>
      <c r="B31" s="4"/>
      <c r="C31" s="4"/>
      <c r="D31" s="4"/>
      <c r="E31" s="4"/>
      <c r="F31" s="4"/>
      <c r="G31" s="4"/>
      <c r="H31" s="4"/>
      <c r="I31" s="4"/>
      <c r="J31" s="4"/>
      <c r="K31" s="4"/>
    </row>
    <row r="32" spans="1:12" ht="20.25" customHeight="1" x14ac:dyDescent="0.25">
      <c r="A32" s="4"/>
      <c r="B32" s="431" t="s">
        <v>1324</v>
      </c>
      <c r="C32" s="432" t="s">
        <v>26</v>
      </c>
      <c r="D32" s="1987" t="s">
        <v>1557</v>
      </c>
      <c r="E32" s="1987"/>
      <c r="F32" s="1987" t="s">
        <v>30</v>
      </c>
      <c r="G32" s="1988"/>
      <c r="H32" s="4"/>
      <c r="I32" s="4"/>
      <c r="J32" s="4"/>
      <c r="K32" s="4"/>
      <c r="L32" s="4"/>
    </row>
    <row r="33" spans="1:12" x14ac:dyDescent="0.25">
      <c r="A33" s="4"/>
      <c r="B33" s="524"/>
      <c r="C33" s="515"/>
      <c r="D33" s="1763" t="s">
        <v>124</v>
      </c>
      <c r="E33" s="1841"/>
      <c r="F33" s="2001"/>
      <c r="G33" s="2001"/>
      <c r="H33" s="4"/>
      <c r="I33" s="4"/>
      <c r="J33" s="4"/>
      <c r="K33" s="4"/>
      <c r="L33" s="4"/>
    </row>
    <row r="34" spans="1:12" x14ac:dyDescent="0.25">
      <c r="A34" s="4"/>
      <c r="B34" s="524"/>
      <c r="C34" s="514"/>
      <c r="D34" s="1763" t="s">
        <v>124</v>
      </c>
      <c r="E34" s="1841"/>
      <c r="F34" s="2001"/>
      <c r="G34" s="2001"/>
      <c r="H34" s="4"/>
      <c r="I34" s="4"/>
      <c r="J34" s="4"/>
      <c r="K34" s="4"/>
      <c r="L34" s="4"/>
    </row>
    <row r="35" spans="1:12" x14ac:dyDescent="0.25">
      <c r="A35" s="4"/>
      <c r="B35" s="524"/>
      <c r="C35" s="514"/>
      <c r="D35" s="1763" t="s">
        <v>124</v>
      </c>
      <c r="E35" s="1841"/>
      <c r="F35" s="2001"/>
      <c r="G35" s="2001"/>
      <c r="H35" s="4"/>
      <c r="I35" s="4"/>
      <c r="J35" s="4"/>
      <c r="K35" s="4"/>
      <c r="L35" s="4"/>
    </row>
    <row r="36" spans="1:12" x14ac:dyDescent="0.25">
      <c r="A36" s="4"/>
      <c r="B36" s="524"/>
      <c r="C36" s="514"/>
      <c r="D36" s="1763" t="s">
        <v>124</v>
      </c>
      <c r="E36" s="1841"/>
      <c r="F36" s="2001"/>
      <c r="G36" s="2001"/>
      <c r="H36" s="4"/>
      <c r="I36" s="4"/>
      <c r="J36" s="4"/>
      <c r="K36" s="4"/>
      <c r="L36" s="4"/>
    </row>
    <row r="37" spans="1:12" x14ac:dyDescent="0.25">
      <c r="A37" s="4"/>
      <c r="B37" s="524"/>
      <c r="C37" s="514"/>
      <c r="D37" s="1763" t="s">
        <v>124</v>
      </c>
      <c r="E37" s="1841"/>
      <c r="F37" s="2001"/>
      <c r="G37" s="2001"/>
      <c r="H37" s="4"/>
      <c r="I37" s="4"/>
      <c r="J37" s="4"/>
      <c r="K37" s="4"/>
      <c r="L37" s="4"/>
    </row>
    <row r="38" spans="1:12" x14ac:dyDescent="0.25">
      <c r="A38" s="4"/>
      <c r="B38" s="524"/>
      <c r="C38" s="514"/>
      <c r="D38" s="1763" t="s">
        <v>124</v>
      </c>
      <c r="E38" s="1841"/>
      <c r="F38" s="2001"/>
      <c r="G38" s="2001"/>
      <c r="H38" s="4"/>
      <c r="I38" s="4"/>
      <c r="J38" s="4"/>
      <c r="K38" s="4"/>
      <c r="L38" s="4"/>
    </row>
    <row r="39" spans="1:12" x14ac:dyDescent="0.25">
      <c r="A39" s="4"/>
      <c r="B39" s="524"/>
      <c r="C39" s="514"/>
      <c r="D39" s="1763" t="s">
        <v>124</v>
      </c>
      <c r="E39" s="1841"/>
      <c r="F39" s="2001"/>
      <c r="G39" s="2001"/>
      <c r="H39" s="4"/>
      <c r="I39" s="4"/>
      <c r="J39" s="4"/>
      <c r="K39" s="4"/>
      <c r="L39" s="4"/>
    </row>
    <row r="40" spans="1:12" x14ac:dyDescent="0.25">
      <c r="A40" s="4"/>
      <c r="B40" s="524"/>
      <c r="C40" s="514"/>
      <c r="D40" s="1763" t="s">
        <v>124</v>
      </c>
      <c r="E40" s="1841"/>
      <c r="F40" s="2001"/>
      <c r="G40" s="2001"/>
      <c r="H40" s="4"/>
      <c r="I40" s="4"/>
      <c r="J40" s="4"/>
      <c r="K40" s="4"/>
      <c r="L40" s="4"/>
    </row>
    <row r="41" spans="1:12" x14ac:dyDescent="0.25">
      <c r="A41" s="4"/>
      <c r="B41" s="524"/>
      <c r="C41" s="514"/>
      <c r="D41" s="1763" t="s">
        <v>124</v>
      </c>
      <c r="E41" s="1841"/>
      <c r="F41" s="2001"/>
      <c r="G41" s="2001"/>
      <c r="H41" s="4"/>
      <c r="I41" s="4"/>
      <c r="J41" s="4"/>
      <c r="K41" s="4"/>
      <c r="L41" s="4"/>
    </row>
    <row r="42" spans="1:12" x14ac:dyDescent="0.25">
      <c r="A42" s="4"/>
      <c r="B42" s="524"/>
      <c r="C42" s="514"/>
      <c r="D42" s="1763" t="s">
        <v>124</v>
      </c>
      <c r="E42" s="1841"/>
      <c r="F42" s="2001"/>
      <c r="G42" s="2001"/>
      <c r="H42" s="4"/>
      <c r="I42" s="4"/>
      <c r="J42" s="4"/>
      <c r="K42" s="4"/>
      <c r="L42" s="4"/>
    </row>
    <row r="43" spans="1:12" x14ac:dyDescent="0.25">
      <c r="A43" s="4"/>
      <c r="B43" s="524"/>
      <c r="C43" s="514"/>
      <c r="D43" s="1763" t="s">
        <v>124</v>
      </c>
      <c r="E43" s="1841"/>
      <c r="F43" s="2001"/>
      <c r="G43" s="2001"/>
      <c r="H43" s="4"/>
      <c r="I43" s="4"/>
      <c r="J43" s="4"/>
      <c r="K43" s="4"/>
      <c r="L43" s="4"/>
    </row>
    <row r="44" spans="1:12" x14ac:dyDescent="0.25">
      <c r="A44" s="4"/>
      <c r="B44" s="524"/>
      <c r="C44" s="514"/>
      <c r="D44" s="1763" t="s">
        <v>124</v>
      </c>
      <c r="E44" s="1841"/>
      <c r="F44" s="2001"/>
      <c r="G44" s="2001"/>
      <c r="H44" s="4"/>
      <c r="I44" s="4"/>
      <c r="J44" s="4"/>
      <c r="K44" s="4"/>
      <c r="L44" s="4"/>
    </row>
    <row r="45" spans="1:12" x14ac:dyDescent="0.25">
      <c r="A45" s="4"/>
      <c r="B45" s="524"/>
      <c r="C45" s="514"/>
      <c r="D45" s="1763" t="s">
        <v>124</v>
      </c>
      <c r="E45" s="1841"/>
      <c r="F45" s="2001"/>
      <c r="G45" s="2001"/>
      <c r="H45" s="4"/>
      <c r="I45" s="4"/>
      <c r="J45" s="4"/>
      <c r="K45" s="4"/>
      <c r="L45" s="4"/>
    </row>
    <row r="46" spans="1:12" x14ac:dyDescent="0.25">
      <c r="A46" s="4"/>
      <c r="B46" s="524"/>
      <c r="C46" s="514"/>
      <c r="D46" s="1763" t="s">
        <v>124</v>
      </c>
      <c r="E46" s="1841"/>
      <c r="F46" s="2001"/>
      <c r="G46" s="2001"/>
      <c r="H46" s="4"/>
      <c r="I46" s="4"/>
      <c r="J46" s="4"/>
      <c r="K46" s="4"/>
      <c r="L46" s="4"/>
    </row>
    <row r="47" spans="1:12" x14ac:dyDescent="0.25">
      <c r="A47" s="4"/>
      <c r="B47" s="524"/>
      <c r="C47" s="514"/>
      <c r="D47" s="1763" t="s">
        <v>124</v>
      </c>
      <c r="E47" s="1841"/>
      <c r="F47" s="2001"/>
      <c r="G47" s="2001"/>
      <c r="H47" s="4"/>
      <c r="I47" s="4"/>
      <c r="J47" s="4"/>
      <c r="K47" s="4"/>
      <c r="L47" s="4"/>
    </row>
    <row r="48" spans="1:12" x14ac:dyDescent="0.25">
      <c r="A48" s="4"/>
      <c r="B48" s="4"/>
      <c r="C48" s="4"/>
      <c r="D48" s="4"/>
      <c r="E48" s="4"/>
      <c r="F48" s="4"/>
      <c r="G48" s="4"/>
      <c r="H48" s="4"/>
      <c r="I48" s="4"/>
      <c r="J48" s="4"/>
      <c r="K48" s="4"/>
    </row>
    <row r="49" spans="1:11" ht="16.5" customHeight="1" x14ac:dyDescent="0.25">
      <c r="A49" s="4"/>
      <c r="B49" s="2000" t="s">
        <v>1327</v>
      </c>
      <c r="C49" s="2000"/>
      <c r="D49" s="1342">
        <f>SUM(C33:C47)-SUMIF(D33:D47,"Select",C33:C47)-SUMIF(D33:D47,"No",C33:C47)</f>
        <v>0</v>
      </c>
      <c r="E49" s="4"/>
      <c r="F49" s="4"/>
      <c r="G49" s="4"/>
      <c r="H49" s="4"/>
      <c r="I49" s="4"/>
      <c r="J49" s="4"/>
      <c r="K49" s="4"/>
    </row>
    <row r="50" spans="1:11" ht="16.5" customHeight="1" x14ac:dyDescent="0.25">
      <c r="A50" s="4"/>
      <c r="B50" s="2000" t="s">
        <v>1328</v>
      </c>
      <c r="C50" s="2000"/>
      <c r="D50" s="1342">
        <f>SUM(C33:C47)</f>
        <v>0</v>
      </c>
      <c r="E50" s="4"/>
      <c r="F50" s="4"/>
      <c r="G50" s="4"/>
      <c r="H50" s="4"/>
      <c r="I50" s="4"/>
      <c r="J50" s="4"/>
      <c r="K50" s="4"/>
    </row>
    <row r="51" spans="1:11" ht="18.75" customHeight="1" x14ac:dyDescent="0.25">
      <c r="A51" s="4"/>
      <c r="B51" s="2000" t="s">
        <v>759</v>
      </c>
      <c r="C51" s="2000"/>
      <c r="D51" s="1340">
        <f>IFERROR(D49/D50,0)</f>
        <v>0</v>
      </c>
      <c r="E51" s="4"/>
      <c r="F51" s="4"/>
      <c r="G51" s="4"/>
      <c r="H51" s="4"/>
      <c r="I51" s="4"/>
      <c r="J51" s="4"/>
      <c r="K51" s="4"/>
    </row>
    <row r="52" spans="1:11" ht="22.5" customHeight="1" x14ac:dyDescent="0.25">
      <c r="A52" s="4"/>
      <c r="B52" s="4"/>
      <c r="C52" s="4"/>
      <c r="D52" s="4"/>
      <c r="E52" s="4"/>
      <c r="F52" s="4"/>
      <c r="G52" s="4"/>
      <c r="H52" s="4"/>
      <c r="I52" s="4"/>
      <c r="J52" s="4"/>
      <c r="K52" s="4"/>
    </row>
    <row r="53" spans="1:11" ht="18" customHeight="1" x14ac:dyDescent="0.25">
      <c r="A53" s="1979" t="s">
        <v>186</v>
      </c>
      <c r="B53" s="1979"/>
      <c r="C53" s="1979"/>
      <c r="D53" s="1979"/>
      <c r="E53" s="1979"/>
      <c r="F53" s="1979"/>
      <c r="G53" s="1979"/>
      <c r="H53" s="1979"/>
      <c r="I53" s="1979"/>
      <c r="J53" s="1979"/>
      <c r="K53" s="1979"/>
    </row>
    <row r="54" spans="1:11" x14ac:dyDescent="0.25">
      <c r="A54" s="4"/>
      <c r="B54" s="4"/>
      <c r="C54" s="4"/>
      <c r="D54" s="4"/>
      <c r="E54" s="4"/>
      <c r="F54" s="4"/>
      <c r="G54" s="4"/>
      <c r="H54" s="4"/>
      <c r="I54" s="4"/>
      <c r="J54" s="4"/>
      <c r="K54" s="4"/>
    </row>
    <row r="55" spans="1:11" ht="18" customHeight="1" x14ac:dyDescent="0.25">
      <c r="A55" s="4"/>
      <c r="B55" s="1985" t="s">
        <v>1739</v>
      </c>
      <c r="C55" s="1986"/>
      <c r="D55" s="1986"/>
      <c r="E55" s="1986"/>
      <c r="F55" s="1986"/>
      <c r="G55" s="1168" t="s">
        <v>1737</v>
      </c>
      <c r="H55" s="1987" t="s">
        <v>1738</v>
      </c>
      <c r="I55" s="1988"/>
      <c r="J55" s="4"/>
      <c r="K55" s="4"/>
    </row>
    <row r="56" spans="1:11" ht="24" customHeight="1" x14ac:dyDescent="0.25">
      <c r="A56" s="4"/>
      <c r="B56" s="1576" t="s">
        <v>1525</v>
      </c>
      <c r="C56" s="1577"/>
      <c r="D56" s="1577"/>
      <c r="E56" s="1577"/>
      <c r="F56" s="1578"/>
      <c r="G56" s="1164" t="s">
        <v>124</v>
      </c>
      <c r="H56" s="1587"/>
      <c r="I56" s="1588"/>
      <c r="J56" s="4"/>
      <c r="K56" s="4"/>
    </row>
    <row r="57" spans="1:11" ht="24" customHeight="1" x14ac:dyDescent="0.25">
      <c r="A57" s="4"/>
      <c r="B57" s="1576" t="s">
        <v>1526</v>
      </c>
      <c r="C57" s="1577"/>
      <c r="D57" s="1577"/>
      <c r="E57" s="1577"/>
      <c r="F57" s="1578"/>
      <c r="G57" s="1164" t="s">
        <v>124</v>
      </c>
      <c r="H57" s="1587"/>
      <c r="I57" s="1588"/>
      <c r="J57" s="4"/>
      <c r="K57" s="4"/>
    </row>
    <row r="58" spans="1:11" ht="18.75" customHeight="1" x14ac:dyDescent="0.25">
      <c r="A58" s="4"/>
      <c r="B58" s="4"/>
      <c r="C58" s="4"/>
      <c r="D58" s="4"/>
      <c r="E58" s="4"/>
      <c r="F58" s="4"/>
      <c r="G58" s="4"/>
      <c r="H58" s="4"/>
      <c r="I58" s="4"/>
      <c r="J58" s="4"/>
      <c r="K58" s="4"/>
    </row>
    <row r="59" spans="1:11" ht="18.75" customHeight="1" x14ac:dyDescent="0.25">
      <c r="A59" s="1979" t="s">
        <v>22</v>
      </c>
      <c r="B59" s="1979"/>
      <c r="C59" s="1979"/>
      <c r="D59" s="1979"/>
      <c r="E59" s="1979"/>
      <c r="F59" s="1979"/>
      <c r="G59" s="1979"/>
      <c r="H59" s="1979"/>
      <c r="I59" s="1979"/>
      <c r="J59" s="1979"/>
      <c r="K59" s="1979"/>
    </row>
    <row r="60" spans="1:11" ht="14.25" customHeight="1" x14ac:dyDescent="0.25">
      <c r="A60" s="4"/>
      <c r="B60" s="4"/>
      <c r="C60" s="4"/>
      <c r="D60" s="4"/>
      <c r="E60" s="4"/>
      <c r="F60" s="4"/>
      <c r="G60" s="4"/>
      <c r="H60" s="4"/>
      <c r="I60" s="4"/>
      <c r="J60" s="4"/>
      <c r="K60" s="4"/>
    </row>
    <row r="61" spans="1:11" ht="18" customHeight="1" x14ac:dyDescent="0.25">
      <c r="A61" s="4"/>
      <c r="B61" s="290" t="s">
        <v>53</v>
      </c>
      <c r="C61" s="1335">
        <f>IF(D51&gt;=0.5,2,IF(D51&gt;=0.25,1,0))</f>
        <v>0</v>
      </c>
      <c r="D61" s="4"/>
      <c r="E61" s="4"/>
      <c r="F61" s="4"/>
      <c r="G61" s="4"/>
      <c r="H61" s="4"/>
      <c r="I61" s="4"/>
      <c r="J61" s="4"/>
      <c r="K61" s="4"/>
    </row>
    <row r="62" spans="1:11" ht="18" customHeight="1" x14ac:dyDescent="0.25">
      <c r="A62" s="4"/>
      <c r="B62" s="291" t="s">
        <v>492</v>
      </c>
      <c r="C62" s="1335" t="str">
        <f>IF(AND(COUNTIF(G56:G57,"Submitted")=2,C61&gt;0),"Yes","No")</f>
        <v>No</v>
      </c>
      <c r="D62" s="4"/>
      <c r="E62" s="4"/>
      <c r="F62" s="4"/>
      <c r="G62" s="4"/>
      <c r="H62" s="4"/>
      <c r="I62" s="4"/>
      <c r="J62" s="4"/>
      <c r="K62" s="4"/>
    </row>
    <row r="63" spans="1:11" ht="14.25" customHeight="1" x14ac:dyDescent="0.25">
      <c r="A63" s="4"/>
      <c r="B63" s="4"/>
      <c r="C63" s="4"/>
      <c r="D63" s="4"/>
      <c r="E63" s="4"/>
      <c r="F63" s="4"/>
      <c r="G63" s="4"/>
      <c r="H63" s="4"/>
      <c r="I63" s="4"/>
      <c r="J63" s="4"/>
      <c r="K63" s="4"/>
    </row>
    <row r="64" spans="1:11" ht="14.25" customHeight="1" x14ac:dyDescent="0.25">
      <c r="A64" s="4"/>
      <c r="B64" s="4"/>
      <c r="C64" s="4"/>
      <c r="D64" s="4"/>
      <c r="E64" s="4"/>
      <c r="F64" s="4"/>
      <c r="G64" s="4"/>
      <c r="H64" s="4"/>
      <c r="I64" s="4"/>
      <c r="J64" s="4"/>
      <c r="K64" s="4"/>
    </row>
    <row r="65" spans="1:11" hidden="1" x14ac:dyDescent="0.25">
      <c r="A65" s="4"/>
      <c r="B65" s="4"/>
      <c r="C65" s="4"/>
      <c r="D65" s="4"/>
      <c r="E65" s="4"/>
      <c r="F65" s="4"/>
      <c r="G65" s="4"/>
      <c r="H65" s="4"/>
      <c r="I65" s="4"/>
      <c r="J65" s="4"/>
      <c r="K65" s="4"/>
    </row>
    <row r="66" spans="1:11" hidden="1" x14ac:dyDescent="0.25">
      <c r="A66" s="4"/>
      <c r="B66" s="4"/>
      <c r="C66" s="4"/>
      <c r="D66" s="4"/>
      <c r="E66" s="4"/>
      <c r="F66" s="4"/>
      <c r="G66" s="4"/>
      <c r="H66" s="4"/>
      <c r="I66" s="4"/>
      <c r="J66" s="4"/>
      <c r="K66" s="4"/>
    </row>
    <row r="67" spans="1:11" ht="15" hidden="1" customHeight="1" x14ac:dyDescent="0.25"/>
    <row r="68" spans="1:11" ht="15" hidden="1" customHeight="1" x14ac:dyDescent="0.25"/>
    <row r="69" spans="1:11" ht="15" hidden="1" customHeight="1" x14ac:dyDescent="0.25"/>
    <row r="70" spans="1:11" ht="15" hidden="1" customHeight="1" x14ac:dyDescent="0.25"/>
    <row r="71" spans="1:11" ht="15" hidden="1" customHeight="1" x14ac:dyDescent="0.25"/>
    <row r="72" spans="1:11" ht="15" hidden="1" customHeight="1" x14ac:dyDescent="0.25"/>
    <row r="73" spans="1:11" ht="15" hidden="1" customHeight="1" x14ac:dyDescent="0.25"/>
    <row r="74" spans="1:11" ht="15" hidden="1" customHeight="1" x14ac:dyDescent="0.25"/>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sheetData>
  <sheetProtection algorithmName="SHA-512" hashValue="fuWWTx9KKQqKZ08jgPW/xOkYqYLEqSBoZa3uMd5cuPrBo+wdPzcfFEG2nN0aOOWvHu1mpbfH35XOHh/qmGra5Q==" saltValue="7gRACkCP8gw+ziShNkPAyw==" spinCount="100000" sheet="1" objects="1" scenarios="1"/>
  <mergeCells count="56">
    <mergeCell ref="A1:K1"/>
    <mergeCell ref="D44:E44"/>
    <mergeCell ref="D45:E45"/>
    <mergeCell ref="D46:E46"/>
    <mergeCell ref="D47:E47"/>
    <mergeCell ref="D39:E39"/>
    <mergeCell ref="D40:E40"/>
    <mergeCell ref="D41:E41"/>
    <mergeCell ref="D42:E42"/>
    <mergeCell ref="D43:E43"/>
    <mergeCell ref="F39:G39"/>
    <mergeCell ref="F36:G36"/>
    <mergeCell ref="F37:G37"/>
    <mergeCell ref="H2:I4"/>
    <mergeCell ref="A5:K7"/>
    <mergeCell ref="B11:E11"/>
    <mergeCell ref="A59:K59"/>
    <mergeCell ref="A53:K53"/>
    <mergeCell ref="F40:G40"/>
    <mergeCell ref="F42:G42"/>
    <mergeCell ref="F43:G43"/>
    <mergeCell ref="F44:G44"/>
    <mergeCell ref="B50:C50"/>
    <mergeCell ref="B51:C51"/>
    <mergeCell ref="F41:G41"/>
    <mergeCell ref="F45:G45"/>
    <mergeCell ref="F46:G46"/>
    <mergeCell ref="B56:F56"/>
    <mergeCell ref="B57:F57"/>
    <mergeCell ref="F47:G47"/>
    <mergeCell ref="B49:C49"/>
    <mergeCell ref="B55:F55"/>
    <mergeCell ref="B12:E12"/>
    <mergeCell ref="F32:G32"/>
    <mergeCell ref="A14:K14"/>
    <mergeCell ref="A9:K9"/>
    <mergeCell ref="A26:K26"/>
    <mergeCell ref="B20:I20"/>
    <mergeCell ref="B21:I21"/>
    <mergeCell ref="B22:I22"/>
    <mergeCell ref="B23:I23"/>
    <mergeCell ref="D32:E32"/>
    <mergeCell ref="B24:I24"/>
    <mergeCell ref="H55:I55"/>
    <mergeCell ref="H56:I56"/>
    <mergeCell ref="H57:I57"/>
    <mergeCell ref="F33:G33"/>
    <mergeCell ref="F34:G34"/>
    <mergeCell ref="F35:G35"/>
    <mergeCell ref="F38:G38"/>
    <mergeCell ref="D38:E38"/>
    <mergeCell ref="D33:E33"/>
    <mergeCell ref="D34:E34"/>
    <mergeCell ref="D35:E35"/>
    <mergeCell ref="D36:E36"/>
    <mergeCell ref="D37:E37"/>
  </mergeCells>
  <conditionalFormatting sqref="F12 B12">
    <cfRule type="expression" dxfId="174" priority="10">
      <formula>OR(#REF!="No",#REF!="Không")</formula>
    </cfRule>
  </conditionalFormatting>
  <conditionalFormatting sqref="F12 B12">
    <cfRule type="expression" dxfId="173" priority="11">
      <formula>OR($D12="No",$D12="Không")</formula>
    </cfRule>
    <cfRule type="expression" dxfId="172" priority="12">
      <formula>OR(#REF!="No",#REF!="Không")</formula>
    </cfRule>
  </conditionalFormatting>
  <conditionalFormatting sqref="G56">
    <cfRule type="expression" dxfId="171" priority="5">
      <formula>#REF!&lt;&gt;"Prescriptive Path"</formula>
    </cfRule>
  </conditionalFormatting>
  <conditionalFormatting sqref="G57">
    <cfRule type="expression" dxfId="170" priority="4">
      <formula>#REF!&lt;&gt;"Prescriptive Path"</formula>
    </cfRule>
  </conditionalFormatting>
  <conditionalFormatting sqref="H55:I55">
    <cfRule type="expression" dxfId="169" priority="3">
      <formula>#REF!&lt;&gt;"Prescriptive Path"</formula>
    </cfRule>
  </conditionalFormatting>
  <conditionalFormatting sqref="I56">
    <cfRule type="expression" dxfId="168" priority="2">
      <formula>#REF!&lt;&gt;"Prescriptive Path"</formula>
    </cfRule>
  </conditionalFormatting>
  <conditionalFormatting sqref="I57">
    <cfRule type="expression" dxfId="167" priority="1">
      <formula>#REF!&lt;&gt;"Prescriptive Path"</formula>
    </cfRule>
  </conditionalFormatting>
  <dataValidations count="4">
    <dataValidation allowBlank="1" showInputMessage="1" showErrorMessage="1" prompt="Describe the sustainable features of the furniture" sqref="F32:G47" xr:uid="{00000000-0002-0000-1F00-000000000000}"/>
    <dataValidation type="list" allowBlank="1" showInputMessage="1" showErrorMessage="1" sqref="G56:G57" xr:uid="{00000000-0002-0000-1F00-000001000000}">
      <formula1>"Select,Submitted,Not submitted"</formula1>
    </dataValidation>
    <dataValidation allowBlank="1" showInputMessage="1" showErrorMessage="1" prompt="Enter the name of the furniture item" sqref="B33:B47" xr:uid="{00000000-0002-0000-1F00-000002000000}"/>
    <dataValidation type="list" allowBlank="1" showInputMessage="1" showErrorMessage="1" sqref="D33:E47" xr:uid="{00000000-0002-0000-1F00-000003000000}">
      <formula1>"Select,Reused Furniture,Reused components,Rapidly renewable materials, Sustainable timber,No"</formula1>
    </dataValidation>
  </dataValidations>
  <hyperlinks>
    <hyperlink ref="J4" location="'M-3 Windows and doors'!D3" tooltip="M-3" display="M-3" xr:uid="{00000000-0004-0000-1F00-000000000000}"/>
    <hyperlink ref="J3" location="'M-2 Non-structural walls'!D3" tooltip="M-2" display="M-2" xr:uid="{00000000-0004-0000-1F00-000001000000}"/>
    <hyperlink ref="K3" location="'M-5 Roofing materials'!D3" tooltip="M-5" display="M-5" xr:uid="{00000000-0004-0000-1F00-000002000000}"/>
    <hyperlink ref="K2" location="'M-4 Flooring materials'!D3" tooltip="M-4" display="M-4" xr:uid="{00000000-0004-0000-1F00-000003000000}"/>
    <hyperlink ref="J2" location="'M-1 Structure Materials'!D3" tooltip="M-1" display="M-1" xr:uid="{00000000-0004-0000-1F00-000004000000}"/>
  </hyperlinks>
  <pageMargins left="0.7" right="0.7" top="0.75" bottom="0.75" header="0.3" footer="0.3"/>
  <pageSetup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tabColor rgb="FF943634"/>
  </sheetPr>
  <dimension ref="A1:R57"/>
  <sheetViews>
    <sheetView showRowColHeaders="0" zoomScale="90" zoomScaleNormal="90" workbookViewId="0">
      <selection activeCell="E6" sqref="E6:F6"/>
    </sheetView>
  </sheetViews>
  <sheetFormatPr defaultColWidth="0" defaultRowHeight="0" customHeight="1" zeroHeight="1" x14ac:dyDescent="0.25"/>
  <cols>
    <col min="1" max="1" width="5.7109375" customWidth="1"/>
    <col min="2" max="2" width="31.7109375" customWidth="1"/>
    <col min="3" max="3" width="3.7109375" customWidth="1"/>
    <col min="4" max="4" width="11.140625" customWidth="1"/>
    <col min="5" max="6" width="20.5703125" customWidth="1"/>
    <col min="7" max="8" width="19.7109375" customWidth="1"/>
    <col min="9" max="9" width="10.42578125" customWidth="1"/>
    <col min="10" max="10" width="8" customWidth="1"/>
    <col min="11" max="12" width="4.85546875" customWidth="1"/>
    <col min="13" max="18" width="0" hidden="1" customWidth="1"/>
    <col min="19" max="16384" width="9.140625" hidden="1"/>
  </cols>
  <sheetData>
    <row r="1" spans="1:12" ht="33" customHeight="1" x14ac:dyDescent="0.25">
      <c r="A1" s="406"/>
      <c r="B1" s="2007" t="s">
        <v>11</v>
      </c>
      <c r="C1" s="407"/>
      <c r="D1" s="311"/>
      <c r="E1" s="312"/>
      <c r="F1" s="312"/>
      <c r="G1" s="312"/>
      <c r="H1" s="312"/>
      <c r="I1" s="312"/>
      <c r="J1" s="312"/>
      <c r="K1" s="312"/>
      <c r="L1" s="313"/>
    </row>
    <row r="2" spans="1:12" ht="27" customHeight="1" x14ac:dyDescent="0.25">
      <c r="A2" s="408"/>
      <c r="B2" s="2008"/>
      <c r="C2" s="409"/>
      <c r="D2" s="314"/>
      <c r="E2" s="315"/>
      <c r="F2" s="315"/>
      <c r="G2" s="315"/>
      <c r="H2" s="315"/>
      <c r="I2" s="315"/>
      <c r="J2" s="315"/>
      <c r="K2" s="315"/>
      <c r="L2" s="316"/>
    </row>
    <row r="3" spans="1:12" ht="25.5" customHeight="1" x14ac:dyDescent="0.25">
      <c r="A3" s="408"/>
      <c r="B3" s="2008"/>
      <c r="C3" s="409"/>
      <c r="D3" s="314"/>
      <c r="E3" s="315"/>
      <c r="F3" s="315"/>
      <c r="G3" s="315"/>
      <c r="H3" s="315"/>
      <c r="I3" s="315"/>
      <c r="J3" s="315"/>
      <c r="K3" s="315"/>
      <c r="L3" s="316"/>
    </row>
    <row r="4" spans="1:12" ht="18.75" customHeight="1" x14ac:dyDescent="0.25">
      <c r="A4" s="408"/>
      <c r="B4" s="410"/>
      <c r="C4" s="411"/>
      <c r="D4" s="314"/>
      <c r="E4" s="2009" t="s">
        <v>363</v>
      </c>
      <c r="F4" s="2010"/>
      <c r="G4" s="2013" t="s">
        <v>364</v>
      </c>
      <c r="H4" s="2013" t="s">
        <v>53</v>
      </c>
      <c r="I4" s="315"/>
      <c r="J4" s="315"/>
      <c r="K4" s="315"/>
      <c r="L4" s="316"/>
    </row>
    <row r="5" spans="1:12" ht="15" customHeight="1" x14ac:dyDescent="0.25">
      <c r="A5" s="408"/>
      <c r="B5" s="2015" t="str">
        <f>IF(A1="","To ensure high indoor environmental quality, through the optimisation of indoor air quality, daylighting, and thermal comfort.","Nhằm đảm bảo chất lượng môi trường trong nhà qua việc tận dụng tối đa chiếu sáng tự nhiên, mở rộng tầm nhìn, tối ưu hóa chất lượng không khí trong nhà, đảm bảo tiện nghi nhiệt và giảm tiếng ồn.")</f>
        <v>To ensure high indoor environmental quality, through the optimisation of indoor air quality, daylighting, and thermal comfort.</v>
      </c>
      <c r="C5" s="412"/>
      <c r="D5" s="314"/>
      <c r="E5" s="2011"/>
      <c r="F5" s="2012"/>
      <c r="G5" s="2013"/>
      <c r="H5" s="2013"/>
      <c r="I5" s="315"/>
      <c r="J5" s="315"/>
      <c r="K5" s="315"/>
      <c r="L5" s="316"/>
    </row>
    <row r="6" spans="1:12" ht="21.75" customHeight="1" x14ac:dyDescent="0.25">
      <c r="A6" s="408"/>
      <c r="B6" s="2015"/>
      <c r="C6" s="412"/>
      <c r="D6" s="314"/>
      <c r="E6" s="2014" t="s">
        <v>12</v>
      </c>
      <c r="F6" s="2014"/>
      <c r="G6" s="165">
        <v>2</v>
      </c>
      <c r="H6" s="165">
        <f>'H-1 Fresh Air Supply'!H12</f>
        <v>0</v>
      </c>
      <c r="I6" s="315"/>
      <c r="J6" s="315"/>
      <c r="K6" s="315"/>
      <c r="L6" s="316"/>
    </row>
    <row r="7" spans="1:12" ht="21.75" customHeight="1" x14ac:dyDescent="0.25">
      <c r="A7" s="408"/>
      <c r="B7" s="2015"/>
      <c r="C7" s="412"/>
      <c r="D7" s="314"/>
      <c r="E7" s="2014" t="s">
        <v>13</v>
      </c>
      <c r="F7" s="2014"/>
      <c r="G7" s="165">
        <v>1</v>
      </c>
      <c r="H7" s="165">
        <f>'H-2 Ventilation in wet areas'!G12</f>
        <v>0</v>
      </c>
      <c r="I7" s="315"/>
      <c r="J7" s="315"/>
      <c r="K7" s="315"/>
      <c r="L7" s="316"/>
    </row>
    <row r="8" spans="1:12" ht="21.75" customHeight="1" x14ac:dyDescent="0.25">
      <c r="A8" s="408"/>
      <c r="B8" s="2015"/>
      <c r="C8" s="412"/>
      <c r="D8" s="314"/>
      <c r="E8" s="2014" t="s">
        <v>1822</v>
      </c>
      <c r="F8" s="2014"/>
      <c r="G8" s="165">
        <v>1</v>
      </c>
      <c r="H8" s="165">
        <f>'H-3 CO2 Monitoring'!G12</f>
        <v>0</v>
      </c>
      <c r="I8" s="315"/>
      <c r="J8" s="315"/>
      <c r="K8" s="315"/>
      <c r="L8" s="316"/>
    </row>
    <row r="9" spans="1:12" ht="21.75" customHeight="1" x14ac:dyDescent="0.25">
      <c r="A9" s="408"/>
      <c r="B9" s="2015"/>
      <c r="C9" s="412"/>
      <c r="D9" s="314"/>
      <c r="E9" s="2014" t="s">
        <v>1819</v>
      </c>
      <c r="F9" s="2014"/>
      <c r="G9" s="165">
        <v>3</v>
      </c>
      <c r="H9" s="165">
        <f>'H-4 Low-VOC Emissions'!G17</f>
        <v>0</v>
      </c>
      <c r="I9" s="315"/>
      <c r="J9" s="315"/>
      <c r="K9" s="315"/>
      <c r="L9" s="316"/>
    </row>
    <row r="10" spans="1:12" ht="21.75" customHeight="1" x14ac:dyDescent="0.25">
      <c r="A10" s="413"/>
      <c r="B10" s="2015"/>
      <c r="C10" s="412"/>
      <c r="D10" s="314"/>
      <c r="E10" s="2014" t="s">
        <v>1820</v>
      </c>
      <c r="F10" s="2014"/>
      <c r="G10" s="165">
        <v>3</v>
      </c>
      <c r="H10" s="165">
        <f>'H-5 Daylighting'!K14+'H-5 Daylighting'!K17</f>
        <v>0</v>
      </c>
      <c r="I10" s="315"/>
      <c r="J10" s="315"/>
      <c r="K10" s="315"/>
      <c r="L10" s="316"/>
    </row>
    <row r="11" spans="1:12" ht="21.75" customHeight="1" x14ac:dyDescent="0.25">
      <c r="A11" s="413"/>
      <c r="B11" s="2015"/>
      <c r="C11" s="412"/>
      <c r="D11" s="314"/>
      <c r="E11" s="2014" t="s">
        <v>1821</v>
      </c>
      <c r="F11" s="2014"/>
      <c r="G11" s="165">
        <v>2</v>
      </c>
      <c r="H11" s="165">
        <f>'H-6 External Views'!H12</f>
        <v>0</v>
      </c>
      <c r="I11" s="315"/>
      <c r="J11" s="315"/>
      <c r="K11" s="315"/>
      <c r="L11" s="316"/>
    </row>
    <row r="12" spans="1:12" ht="21.75" customHeight="1" x14ac:dyDescent="0.25">
      <c r="A12" s="413"/>
      <c r="B12" s="2015"/>
      <c r="C12" s="412"/>
      <c r="D12" s="314"/>
      <c r="E12" s="2014" t="s">
        <v>365</v>
      </c>
      <c r="F12" s="2014"/>
      <c r="G12" s="165">
        <v>3</v>
      </c>
      <c r="H12" s="165">
        <f>SUM('H&amp;C BPC'!G11:G12)</f>
        <v>0</v>
      </c>
      <c r="I12" s="315"/>
      <c r="J12" s="315"/>
      <c r="K12" s="315"/>
      <c r="L12" s="316"/>
    </row>
    <row r="13" spans="1:12" ht="23.25" customHeight="1" x14ac:dyDescent="0.25">
      <c r="A13" s="413"/>
      <c r="B13" s="416"/>
      <c r="C13" s="412"/>
      <c r="D13" s="314"/>
      <c r="E13" s="2005" t="s">
        <v>79</v>
      </c>
      <c r="F13" s="2006"/>
      <c r="G13" s="103">
        <f>SUM(G6:G12)</f>
        <v>15</v>
      </c>
      <c r="H13" s="103">
        <f>SUM(H6:H12)</f>
        <v>0</v>
      </c>
      <c r="I13" s="315"/>
      <c r="J13" s="315"/>
      <c r="K13" s="315"/>
      <c r="L13" s="316"/>
    </row>
    <row r="14" spans="1:12" ht="15" customHeight="1" x14ac:dyDescent="0.25">
      <c r="A14" s="413"/>
      <c r="B14" s="416"/>
      <c r="C14" s="412"/>
      <c r="D14" s="314"/>
      <c r="E14" s="315"/>
      <c r="F14" s="315"/>
      <c r="G14" s="315"/>
      <c r="H14" s="315"/>
      <c r="I14" s="315"/>
      <c r="J14" s="315"/>
      <c r="K14" s="315"/>
      <c r="L14" s="316"/>
    </row>
    <row r="15" spans="1:12" ht="15" customHeight="1" x14ac:dyDescent="0.25">
      <c r="A15" s="413"/>
      <c r="B15" s="416"/>
      <c r="C15" s="412"/>
      <c r="D15" s="314"/>
      <c r="E15" s="315"/>
      <c r="F15" s="315"/>
      <c r="G15" s="315"/>
      <c r="H15" s="315"/>
      <c r="I15" s="315"/>
      <c r="J15" s="315"/>
      <c r="K15" s="315"/>
      <c r="L15" s="316"/>
    </row>
    <row r="16" spans="1:12" ht="15" customHeight="1" x14ac:dyDescent="0.25">
      <c r="A16" s="414"/>
      <c r="B16" s="417"/>
      <c r="C16" s="415"/>
      <c r="D16" s="317"/>
      <c r="E16" s="318"/>
      <c r="F16" s="318"/>
      <c r="G16" s="318"/>
      <c r="H16" s="318"/>
      <c r="I16" s="318"/>
      <c r="J16" s="318"/>
      <c r="K16" s="318"/>
      <c r="L16" s="319"/>
    </row>
    <row r="17" spans="1:12" ht="15" hidden="1" customHeight="1" x14ac:dyDescent="0.25">
      <c r="A17" s="413"/>
      <c r="B17" s="416"/>
      <c r="C17" s="412"/>
      <c r="D17" s="1"/>
      <c r="E17" s="1"/>
      <c r="F17" s="1"/>
      <c r="G17" s="1"/>
      <c r="H17" s="1"/>
      <c r="I17" s="1"/>
      <c r="J17" s="1"/>
      <c r="K17" s="1"/>
      <c r="L17" s="1"/>
    </row>
    <row r="18" spans="1:12" ht="15" hidden="1" customHeight="1" x14ac:dyDescent="0.25">
      <c r="A18" s="413"/>
      <c r="B18" s="416"/>
      <c r="C18" s="412"/>
      <c r="D18" s="1"/>
      <c r="E18" s="1"/>
      <c r="F18" s="1"/>
      <c r="G18" s="1"/>
      <c r="H18" s="1"/>
      <c r="I18" s="1"/>
      <c r="J18" s="1"/>
      <c r="K18" s="1"/>
      <c r="L18" s="1"/>
    </row>
    <row r="19" spans="1:12" ht="15" hidden="1" customHeight="1" x14ac:dyDescent="0.25">
      <c r="A19" s="413"/>
      <c r="B19" s="416"/>
      <c r="C19" s="412"/>
      <c r="D19" s="1"/>
      <c r="E19" s="1"/>
      <c r="F19" s="1"/>
      <c r="G19" s="1"/>
      <c r="H19" s="1"/>
      <c r="I19" s="1"/>
      <c r="J19" s="1"/>
      <c r="K19" s="1"/>
      <c r="L19" s="1"/>
    </row>
    <row r="20" spans="1:12" ht="15" hidden="1" customHeight="1" x14ac:dyDescent="0.25">
      <c r="A20" s="414"/>
      <c r="B20" s="417"/>
      <c r="C20" s="415"/>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E44" s="1"/>
      <c r="F44" s="1"/>
      <c r="G44" s="1"/>
      <c r="H44" s="1"/>
      <c r="I44" s="1"/>
      <c r="J44" s="1"/>
      <c r="K44" s="1"/>
      <c r="L44" s="1"/>
    </row>
    <row r="45" spans="1:12" ht="15" hidden="1" customHeight="1" x14ac:dyDescent="0.25">
      <c r="A45" s="1"/>
      <c r="B45" s="2"/>
      <c r="C45" s="2"/>
      <c r="D45" s="1"/>
      <c r="E45" s="1"/>
      <c r="F45" s="1"/>
      <c r="G45" s="1"/>
      <c r="H45" s="1"/>
      <c r="I45" s="1"/>
      <c r="J45" s="1"/>
      <c r="K45" s="1"/>
      <c r="L45" s="1"/>
    </row>
    <row r="46" spans="1:12" ht="15" hidden="1" customHeight="1" x14ac:dyDescent="0.25">
      <c r="A46" s="1"/>
      <c r="B46" s="2"/>
      <c r="C46" s="2"/>
      <c r="D46" s="1"/>
      <c r="E46" s="1"/>
      <c r="F46" s="1"/>
      <c r="G46" s="1"/>
      <c r="H46" s="1"/>
      <c r="I46" s="1"/>
      <c r="J46" s="1"/>
      <c r="K46" s="1"/>
      <c r="L46" s="1"/>
    </row>
    <row r="47" spans="1:12" ht="15" hidden="1" customHeight="1" x14ac:dyDescent="0.25">
      <c r="D47" s="1"/>
      <c r="E47" s="1"/>
      <c r="F47" s="1"/>
      <c r="G47" s="1"/>
      <c r="H47" s="1"/>
      <c r="I47" s="1"/>
    </row>
    <row r="48" spans="1:12" ht="15" hidden="1" customHeight="1" x14ac:dyDescent="0.25">
      <c r="D48" s="1"/>
    </row>
    <row r="49" spans="4:4" ht="15" hidden="1" customHeight="1" x14ac:dyDescent="0.25">
      <c r="D49" s="1"/>
    </row>
    <row r="50" spans="4:4" ht="15" hidden="1" customHeight="1" x14ac:dyDescent="0.25">
      <c r="D50" s="1"/>
    </row>
    <row r="51" spans="4:4" ht="15" hidden="1" customHeight="1" x14ac:dyDescent="0.25"/>
    <row r="52" spans="4:4" ht="15" hidden="1" customHeight="1" x14ac:dyDescent="0.25"/>
    <row r="53" spans="4:4" ht="15" hidden="1" customHeight="1" x14ac:dyDescent="0.25"/>
    <row r="54" spans="4:4" ht="15" hidden="1" customHeight="1" x14ac:dyDescent="0.25"/>
    <row r="55" spans="4:4" ht="15" hidden="1" customHeight="1" x14ac:dyDescent="0.25"/>
    <row r="56" spans="4:4" ht="15" hidden="1" customHeight="1" x14ac:dyDescent="0.25"/>
    <row r="57" spans="4:4" ht="15" hidden="1" customHeight="1" x14ac:dyDescent="0.25"/>
  </sheetData>
  <sheetProtection algorithmName="SHA-512" hashValue="XF5KvaFPGSn4XU8iWhAppYFTQL7gk1PyZexH0XmftmRA3CV5Gv16eig0LXVCY53RtcaVWp8/peWiwOTzrFS3oQ==" saltValue="jCB2ZHR0xOL04QCde7R1Cw==" spinCount="100000" sheet="1" objects="1" scenarios="1"/>
  <mergeCells count="13">
    <mergeCell ref="E13:F13"/>
    <mergeCell ref="B1:B3"/>
    <mergeCell ref="E4:F5"/>
    <mergeCell ref="G4:G5"/>
    <mergeCell ref="H4:H5"/>
    <mergeCell ref="E6:F6"/>
    <mergeCell ref="B5:B12"/>
    <mergeCell ref="E7:F7"/>
    <mergeCell ref="E9:F9"/>
    <mergeCell ref="E10:F10"/>
    <mergeCell ref="E11:F11"/>
    <mergeCell ref="E12:F12"/>
    <mergeCell ref="E8:F8"/>
  </mergeCells>
  <hyperlinks>
    <hyperlink ref="E6" location="'H-1 Fresh Air Supply'!A1" tooltip="H-1 Fresh Air Supply" display="H-1 Fresh Air Supply" xr:uid="{00000000-0004-0000-2000-000000000000}"/>
    <hyperlink ref="E7" location="'H-2 Ventilation in wet areas'!A1" tooltip="H-2 Ventilation in Wet Areas" display="H-2 Ventilation in Wet Areas" xr:uid="{00000000-0004-0000-2000-000001000000}"/>
    <hyperlink ref="E9" location="'H-3 Hazardous Materials'!A1" tooltip="H-3 Hazardous Materials" display="H-3 Hazardous Materials" xr:uid="{00000000-0004-0000-2000-000002000000}"/>
    <hyperlink ref="E10" location="'H-4 Daylighting'!A1" tooltip="H-4 Daylighting" display="H-4 Daylighting" xr:uid="{00000000-0004-0000-2000-000003000000}"/>
    <hyperlink ref="E11:F11" location="'H-6 External Views'!B3" tooltip="H-6 External Views" display="H-6 External Views" xr:uid="{00000000-0004-0000-2000-000004000000}"/>
    <hyperlink ref="E12:F12" location="'H&amp;C BPC'!D3" tooltip="Best Practice Credits" display="Best Practice Credits" xr:uid="{00000000-0004-0000-2000-000005000000}"/>
    <hyperlink ref="E6:F6" location="'H-1 Fresh Air Supply'!B3" tooltip="H-1 Fresh Air Supply" display="H-1 Fresh Air Supply" xr:uid="{00000000-0004-0000-2000-000006000000}"/>
    <hyperlink ref="E7:F7" location="'H-2 Ventilation in wet areas'!E3" tooltip="H-2 Ventilation in Wet Areas" display="H-2 Ventilation in Wet Areas" xr:uid="{00000000-0004-0000-2000-000007000000}"/>
    <hyperlink ref="E9:F9" location="'H-4 Low-VOC Emissions'!B3" tooltip="H-4 Low-VOC Emissions" display="H-4 Low-VOC Emissions" xr:uid="{00000000-0004-0000-2000-000008000000}"/>
    <hyperlink ref="E10:F10" location="'H-5 Daylighting'!B3" tooltip="H-5 Daylighting" display="H-5 Daylighting" xr:uid="{00000000-0004-0000-2000-000009000000}"/>
    <hyperlink ref="E8" location="'H-2 Ventilation in wet areas'!A1" tooltip="H-2 Ventilation in Wet Areas" display="H-2 Ventilation in Wet Areas" xr:uid="{00000000-0004-0000-2000-00000A000000}"/>
    <hyperlink ref="E8:F8" location="'H-3 CO2 Monitoring'!B3" tooltip="H-3 CO2 Monitoring" display="H-3 CO2 Monitoring" xr:uid="{00000000-0004-0000-2000-00000B000000}"/>
  </hyperlinks>
  <pageMargins left="0.7" right="0.7" top="0.75" bottom="0.75" header="0.3" footer="0.3"/>
  <pageSetup orientation="portrait" verticalDpi="0"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tabColor rgb="FF943634"/>
  </sheetPr>
  <dimension ref="A1:AJ114"/>
  <sheetViews>
    <sheetView showRowColHeaders="0" workbookViewId="0">
      <pane ySplit="8" topLeftCell="A9" activePane="bottomLeft" state="frozen"/>
      <selection pane="bottomLeft" activeCell="L4" sqref="L4"/>
    </sheetView>
  </sheetViews>
  <sheetFormatPr defaultColWidth="0" defaultRowHeight="15" customHeight="1" zeroHeight="1" x14ac:dyDescent="0.25"/>
  <cols>
    <col min="1" max="1" width="5.85546875" style="38" customWidth="1"/>
    <col min="2" max="3" width="20.85546875" style="38" customWidth="1"/>
    <col min="4" max="4" width="18" style="38" customWidth="1"/>
    <col min="5" max="5" width="16.5703125" style="38" customWidth="1"/>
    <col min="6" max="6" width="19" style="38" customWidth="1"/>
    <col min="7" max="7" width="16.85546875" style="38" customWidth="1"/>
    <col min="8" max="8" width="18.7109375" style="38" customWidth="1"/>
    <col min="9" max="9" width="18.28515625" style="38" customWidth="1"/>
    <col min="10" max="10" width="15.28515625" style="38" customWidth="1"/>
    <col min="11" max="11" width="10.85546875" style="38" customWidth="1"/>
    <col min="12" max="13" width="8.7109375" style="38" customWidth="1"/>
    <col min="14" max="16" width="9.140625" style="38" hidden="1" customWidth="1"/>
    <col min="17" max="19" width="33.42578125" style="38" hidden="1" customWidth="1"/>
    <col min="20" max="20" width="24.5703125" style="38" hidden="1" customWidth="1"/>
    <col min="21" max="21" width="10.7109375" style="38" hidden="1" customWidth="1"/>
    <col min="22" max="22" width="12.7109375" style="38" hidden="1" customWidth="1"/>
    <col min="23" max="23" width="9.140625" style="38" hidden="1" customWidth="1"/>
    <col min="24" max="24" width="13.7109375" style="38" hidden="1" customWidth="1"/>
    <col min="25" max="16384" width="9.140625" style="38" hidden="1"/>
  </cols>
  <sheetData>
    <row r="1" spans="1:24" ht="23.25" x14ac:dyDescent="0.25">
      <c r="A1" s="2033" t="s">
        <v>12</v>
      </c>
      <c r="B1" s="2033"/>
      <c r="C1" s="2033"/>
      <c r="D1" s="2033"/>
      <c r="E1" s="2033"/>
      <c r="F1" s="2033"/>
      <c r="G1" s="2033"/>
      <c r="H1" s="2033"/>
      <c r="I1" s="2033"/>
      <c r="J1" s="2033"/>
      <c r="K1" s="2033"/>
      <c r="L1" s="2033"/>
      <c r="M1" s="2033"/>
    </row>
    <row r="2" spans="1:24" ht="15" customHeight="1" x14ac:dyDescent="0.25">
      <c r="A2" s="49"/>
      <c r="B2" s="50"/>
      <c r="C2" s="50"/>
      <c r="D2" s="50"/>
      <c r="E2" s="50"/>
      <c r="F2" s="50"/>
      <c r="G2" s="49"/>
      <c r="H2" s="49"/>
      <c r="I2" s="1585" t="s">
        <v>745</v>
      </c>
      <c r="J2" s="1585"/>
      <c r="K2" s="1585"/>
      <c r="L2" s="734" t="s">
        <v>82</v>
      </c>
      <c r="M2" s="734" t="s">
        <v>729</v>
      </c>
    </row>
    <row r="3" spans="1:24" ht="15" customHeight="1" x14ac:dyDescent="0.25">
      <c r="A3" s="49"/>
      <c r="B3" s="50"/>
      <c r="C3" s="50"/>
      <c r="D3" s="50"/>
      <c r="E3" s="50"/>
      <c r="F3" s="50"/>
      <c r="G3" s="49"/>
      <c r="H3" s="49"/>
      <c r="I3" s="1585"/>
      <c r="J3" s="1585"/>
      <c r="K3" s="1585"/>
      <c r="L3" s="734" t="s">
        <v>87</v>
      </c>
      <c r="M3" s="734" t="s">
        <v>1788</v>
      </c>
    </row>
    <row r="4" spans="1:24" ht="15" customHeight="1" x14ac:dyDescent="0.25">
      <c r="A4" s="49"/>
      <c r="B4" s="50"/>
      <c r="C4" s="50"/>
      <c r="D4" s="50"/>
      <c r="E4" s="50"/>
      <c r="F4" s="50"/>
      <c r="G4" s="49"/>
      <c r="H4" s="49"/>
      <c r="I4" s="1586"/>
      <c r="J4" s="1586"/>
      <c r="K4" s="1586"/>
      <c r="L4" s="734" t="s">
        <v>92</v>
      </c>
      <c r="M4" s="734" t="s">
        <v>76</v>
      </c>
    </row>
    <row r="5" spans="1:24" ht="16.5" customHeight="1" x14ac:dyDescent="0.25">
      <c r="A5" s="1600" t="s">
        <v>2604</v>
      </c>
      <c r="B5" s="1601"/>
      <c r="C5" s="1601"/>
      <c r="D5" s="1601"/>
      <c r="E5" s="1601"/>
      <c r="F5" s="1601"/>
      <c r="G5" s="1601"/>
      <c r="H5" s="1601"/>
      <c r="I5" s="1601"/>
      <c r="J5" s="1601"/>
      <c r="K5" s="1601"/>
      <c r="L5" s="1601"/>
      <c r="M5" s="1601"/>
      <c r="S5" s="1143"/>
      <c r="T5" s="1144"/>
      <c r="U5" s="1144" t="s">
        <v>2140</v>
      </c>
      <c r="V5" s="1144" t="s">
        <v>2139</v>
      </c>
      <c r="W5" s="1144"/>
      <c r="X5" s="1145" t="s">
        <v>2141</v>
      </c>
    </row>
    <row r="6" spans="1:24" ht="16.5" customHeight="1" x14ac:dyDescent="0.25">
      <c r="A6" s="1603"/>
      <c r="B6" s="1604"/>
      <c r="C6" s="1604"/>
      <c r="D6" s="1604"/>
      <c r="E6" s="1604"/>
      <c r="F6" s="1604"/>
      <c r="G6" s="1604"/>
      <c r="H6" s="1604"/>
      <c r="I6" s="1604"/>
      <c r="J6" s="1604"/>
      <c r="K6" s="1604"/>
      <c r="L6" s="1604"/>
      <c r="M6" s="1604"/>
      <c r="S6" s="1146">
        <v>1.1000000000000001</v>
      </c>
      <c r="T6" s="1147" t="s">
        <v>2154</v>
      </c>
      <c r="U6" s="1147">
        <v>10</v>
      </c>
      <c r="V6" s="1147">
        <v>35</v>
      </c>
      <c r="W6" s="1147"/>
      <c r="X6" s="1148">
        <f>V6/U6</f>
        <v>3.5</v>
      </c>
    </row>
    <row r="7" spans="1:24" ht="16.5" customHeight="1" x14ac:dyDescent="0.25">
      <c r="A7" s="1606"/>
      <c r="B7" s="1607"/>
      <c r="C7" s="1607"/>
      <c r="D7" s="1607"/>
      <c r="E7" s="1607"/>
      <c r="F7" s="1607"/>
      <c r="G7" s="1607"/>
      <c r="H7" s="1607"/>
      <c r="I7" s="1607"/>
      <c r="J7" s="1607"/>
      <c r="K7" s="1607"/>
      <c r="L7" s="1607"/>
      <c r="M7" s="1607"/>
      <c r="S7" s="1146">
        <v>1.2</v>
      </c>
      <c r="T7" s="1147" t="s">
        <v>2155</v>
      </c>
      <c r="U7" s="1147">
        <v>5</v>
      </c>
      <c r="V7" s="1147">
        <v>35</v>
      </c>
      <c r="W7" s="1147"/>
      <c r="X7" s="1148">
        <f t="shared" ref="X7:X29" si="0">V7/U7</f>
        <v>7</v>
      </c>
    </row>
    <row r="8" spans="1:24" ht="12" customHeight="1" x14ac:dyDescent="0.25">
      <c r="A8" s="49"/>
      <c r="B8" s="50"/>
      <c r="C8" s="50"/>
      <c r="D8" s="50"/>
      <c r="E8" s="50"/>
      <c r="F8" s="50"/>
      <c r="G8" s="49"/>
      <c r="H8" s="49"/>
      <c r="I8" s="49"/>
      <c r="J8" s="49"/>
      <c r="K8" s="49"/>
      <c r="L8" s="49"/>
      <c r="M8" s="49"/>
      <c r="N8" s="49"/>
      <c r="S8" s="1146">
        <v>1.3</v>
      </c>
      <c r="T8" s="1147" t="s">
        <v>2156</v>
      </c>
      <c r="U8" s="1147">
        <v>3</v>
      </c>
      <c r="V8" s="1147">
        <v>25</v>
      </c>
      <c r="W8" s="1147"/>
      <c r="X8" s="1148">
        <f t="shared" si="0"/>
        <v>8.3333333333333339</v>
      </c>
    </row>
    <row r="9" spans="1:24" ht="18" customHeight="1" x14ac:dyDescent="0.25">
      <c r="A9" s="2016" t="s">
        <v>177</v>
      </c>
      <c r="B9" s="2016"/>
      <c r="C9" s="2016"/>
      <c r="D9" s="2016"/>
      <c r="E9" s="2016"/>
      <c r="F9" s="2016"/>
      <c r="G9" s="2016"/>
      <c r="H9" s="2016"/>
      <c r="I9" s="2016"/>
      <c r="J9" s="2016"/>
      <c r="K9" s="2016"/>
      <c r="L9" s="2016"/>
      <c r="M9" s="2016"/>
      <c r="N9" s="43"/>
      <c r="S9" s="1146">
        <v>1.4</v>
      </c>
      <c r="T9" s="1149" t="s">
        <v>2157</v>
      </c>
      <c r="U9" s="1147">
        <v>2</v>
      </c>
      <c r="V9" s="1147">
        <v>30</v>
      </c>
      <c r="W9" s="1147"/>
      <c r="X9" s="1148">
        <f t="shared" si="0"/>
        <v>15</v>
      </c>
    </row>
    <row r="10" spans="1:24" ht="16.5" customHeight="1" x14ac:dyDescent="0.25">
      <c r="A10" s="49"/>
      <c r="B10" s="50"/>
      <c r="C10" s="50"/>
      <c r="D10" s="50"/>
      <c r="E10" s="50"/>
      <c r="F10" s="50"/>
      <c r="G10" s="49"/>
      <c r="H10" s="49"/>
      <c r="I10" s="49"/>
      <c r="J10" s="49"/>
      <c r="K10" s="49"/>
      <c r="L10" s="49"/>
      <c r="M10" s="49"/>
      <c r="S10" s="1146">
        <v>1.5</v>
      </c>
      <c r="T10" s="1149" t="s">
        <v>2158</v>
      </c>
      <c r="U10" s="1147">
        <v>1</v>
      </c>
      <c r="V10" s="1147">
        <v>25</v>
      </c>
      <c r="W10" s="1147"/>
      <c r="X10" s="1148">
        <f t="shared" si="0"/>
        <v>25</v>
      </c>
    </row>
    <row r="11" spans="1:24" ht="19.5" customHeight="1" x14ac:dyDescent="0.25">
      <c r="A11" s="49"/>
      <c r="B11" s="2019" t="s">
        <v>178</v>
      </c>
      <c r="C11" s="2020"/>
      <c r="D11" s="2020"/>
      <c r="E11" s="2020"/>
      <c r="F11" s="2020"/>
      <c r="G11" s="583" t="s">
        <v>152</v>
      </c>
      <c r="H11" s="583" t="s">
        <v>53</v>
      </c>
      <c r="I11" s="51" t="s">
        <v>492</v>
      </c>
      <c r="J11" s="49"/>
      <c r="K11" s="49"/>
      <c r="L11" s="49"/>
      <c r="M11" s="49"/>
      <c r="S11" s="1146">
        <v>1.6</v>
      </c>
      <c r="T11" s="1147" t="s">
        <v>2159</v>
      </c>
      <c r="U11" s="1147">
        <v>13</v>
      </c>
      <c r="V11" s="1147">
        <v>30</v>
      </c>
      <c r="W11" s="1147"/>
      <c r="X11" s="1148">
        <f t="shared" si="0"/>
        <v>2.3076923076923075</v>
      </c>
    </row>
    <row r="12" spans="1:24" ht="19.5" customHeight="1" x14ac:dyDescent="0.25">
      <c r="A12" s="49"/>
      <c r="B12" s="1611" t="s">
        <v>2099</v>
      </c>
      <c r="C12" s="1612"/>
      <c r="D12" s="1612"/>
      <c r="E12" s="1612"/>
      <c r="F12" s="2021"/>
      <c r="G12" s="55">
        <v>2</v>
      </c>
      <c r="H12" s="272">
        <f>C108</f>
        <v>0</v>
      </c>
      <c r="I12" s="272" t="str">
        <f>C109</f>
        <v>No</v>
      </c>
      <c r="J12" s="49"/>
      <c r="K12" s="49"/>
      <c r="L12" s="49"/>
      <c r="M12" s="49"/>
      <c r="S12" s="1146">
        <v>1.7</v>
      </c>
      <c r="T12" s="1147" t="s">
        <v>2160</v>
      </c>
      <c r="U12" s="1147">
        <v>1.5</v>
      </c>
      <c r="V12" s="1147">
        <v>25</v>
      </c>
      <c r="W12" s="1147"/>
      <c r="X12" s="1148">
        <f t="shared" si="0"/>
        <v>16.666666666666668</v>
      </c>
    </row>
    <row r="13" spans="1:24" ht="16.5" customHeight="1" x14ac:dyDescent="0.25">
      <c r="A13" s="49"/>
      <c r="B13" s="50"/>
      <c r="C13" s="50"/>
      <c r="D13" s="50"/>
      <c r="E13" s="50"/>
      <c r="F13" s="50"/>
      <c r="G13" s="49"/>
      <c r="H13" s="49"/>
      <c r="I13" s="49"/>
      <c r="J13" s="49"/>
      <c r="K13" s="49"/>
      <c r="L13" s="49"/>
      <c r="M13" s="49"/>
      <c r="S13" s="1146">
        <v>1.8</v>
      </c>
      <c r="T13" s="1147" t="s">
        <v>2161</v>
      </c>
      <c r="U13" s="1147">
        <v>5</v>
      </c>
      <c r="V13" s="1147">
        <v>25</v>
      </c>
      <c r="W13" s="1147"/>
      <c r="X13" s="1148">
        <f t="shared" si="0"/>
        <v>5</v>
      </c>
    </row>
    <row r="14" spans="1:24" ht="18" customHeight="1" x14ac:dyDescent="0.25">
      <c r="A14" s="2016" t="s">
        <v>245</v>
      </c>
      <c r="B14" s="2016"/>
      <c r="C14" s="2016"/>
      <c r="D14" s="2016"/>
      <c r="E14" s="2016"/>
      <c r="F14" s="2016"/>
      <c r="G14" s="2016"/>
      <c r="H14" s="2016"/>
      <c r="I14" s="2016"/>
      <c r="J14" s="2016"/>
      <c r="K14" s="2016"/>
      <c r="L14" s="2016"/>
      <c r="M14" s="2016"/>
      <c r="S14" s="1146">
        <v>1.9</v>
      </c>
      <c r="T14" s="1147" t="s">
        <v>2162</v>
      </c>
      <c r="U14" s="1147"/>
      <c r="V14" s="1147" t="s">
        <v>121</v>
      </c>
      <c r="W14" s="1147">
        <v>40</v>
      </c>
      <c r="X14" s="1148">
        <f>W14</f>
        <v>40</v>
      </c>
    </row>
    <row r="15" spans="1:24" x14ac:dyDescent="0.25">
      <c r="A15" s="49"/>
      <c r="B15" s="50"/>
      <c r="C15" s="50"/>
      <c r="D15" s="50"/>
      <c r="E15" s="50"/>
      <c r="F15" s="50"/>
      <c r="G15" s="49"/>
      <c r="H15" s="49"/>
      <c r="I15" s="49"/>
      <c r="J15" s="49"/>
      <c r="K15" s="49"/>
      <c r="L15" s="49"/>
      <c r="M15" s="49"/>
      <c r="S15" s="1146">
        <v>2.1</v>
      </c>
      <c r="T15" s="1147" t="s">
        <v>2163</v>
      </c>
      <c r="U15" s="1147">
        <v>3</v>
      </c>
      <c r="V15" s="1147">
        <v>40</v>
      </c>
      <c r="W15" s="1147"/>
      <c r="X15" s="1148">
        <f t="shared" si="0"/>
        <v>13.333333333333334</v>
      </c>
    </row>
    <row r="16" spans="1:24" x14ac:dyDescent="0.25">
      <c r="A16" s="49"/>
      <c r="B16" s="641" t="s">
        <v>2226</v>
      </c>
      <c r="C16" s="50"/>
      <c r="D16" s="50"/>
      <c r="E16" s="50"/>
      <c r="F16" s="50"/>
      <c r="G16" s="49"/>
      <c r="H16" s="49"/>
      <c r="I16" s="49"/>
      <c r="J16" s="49"/>
      <c r="K16" s="49"/>
      <c r="L16" s="49"/>
      <c r="M16" s="49"/>
      <c r="S16" s="1146">
        <v>3.1</v>
      </c>
      <c r="T16" s="1147" t="s">
        <v>2164</v>
      </c>
      <c r="U16" s="1147">
        <v>1.4</v>
      </c>
      <c r="V16" s="1147">
        <v>30</v>
      </c>
      <c r="W16" s="1147"/>
      <c r="X16" s="1148">
        <f t="shared" si="0"/>
        <v>21.428571428571431</v>
      </c>
    </row>
    <row r="17" spans="1:24" x14ac:dyDescent="0.25">
      <c r="A17" s="49"/>
      <c r="B17" s="50"/>
      <c r="C17" s="50"/>
      <c r="D17" s="50"/>
      <c r="E17" s="50"/>
      <c r="F17" s="50"/>
      <c r="G17" s="49"/>
      <c r="H17" s="49"/>
      <c r="I17" s="49"/>
      <c r="J17" s="49"/>
      <c r="K17" s="49"/>
      <c r="L17" s="49"/>
      <c r="M17" s="49"/>
      <c r="S17" s="1146">
        <v>3.2</v>
      </c>
      <c r="T17" s="1147" t="s">
        <v>2165</v>
      </c>
      <c r="U17" s="1147">
        <v>1</v>
      </c>
      <c r="V17" s="1147">
        <v>30</v>
      </c>
      <c r="W17" s="1147"/>
      <c r="X17" s="1148">
        <f t="shared" si="0"/>
        <v>30</v>
      </c>
    </row>
    <row r="18" spans="1:24" x14ac:dyDescent="0.25">
      <c r="A18" s="49"/>
      <c r="B18" s="50" t="s">
        <v>2227</v>
      </c>
      <c r="C18" s="50"/>
      <c r="D18" s="50"/>
      <c r="E18" s="50"/>
      <c r="F18" s="50"/>
      <c r="G18" s="49"/>
      <c r="H18" s="49"/>
      <c r="I18" s="49"/>
      <c r="J18" s="49"/>
      <c r="K18" s="49"/>
      <c r="L18" s="49"/>
      <c r="M18" s="49"/>
      <c r="S18" s="1146">
        <v>3.3</v>
      </c>
      <c r="T18" s="1147" t="s">
        <v>2166</v>
      </c>
      <c r="U18" s="1147">
        <v>1</v>
      </c>
      <c r="V18" s="1147">
        <v>35</v>
      </c>
      <c r="W18" s="1147"/>
      <c r="X18" s="1148">
        <f t="shared" si="0"/>
        <v>35</v>
      </c>
    </row>
    <row r="19" spans="1:24" ht="6.75" customHeight="1" x14ac:dyDescent="0.25">
      <c r="A19" s="49"/>
      <c r="B19" s="50"/>
      <c r="C19" s="50"/>
      <c r="D19" s="50"/>
      <c r="E19" s="50"/>
      <c r="F19" s="50"/>
      <c r="G19" s="49"/>
      <c r="H19" s="49"/>
      <c r="I19" s="49"/>
      <c r="J19" s="49"/>
      <c r="K19" s="49"/>
      <c r="L19" s="49"/>
      <c r="M19" s="49"/>
      <c r="S19" s="1146">
        <v>3.4</v>
      </c>
      <c r="T19" s="1147" t="s">
        <v>2167</v>
      </c>
      <c r="U19" s="1147">
        <v>5</v>
      </c>
      <c r="V19" s="1147">
        <v>25</v>
      </c>
      <c r="W19" s="1147"/>
      <c r="X19" s="1148">
        <f t="shared" si="0"/>
        <v>5</v>
      </c>
    </row>
    <row r="20" spans="1:24" x14ac:dyDescent="0.25">
      <c r="A20" s="49"/>
      <c r="B20" s="854" t="s">
        <v>1509</v>
      </c>
      <c r="C20" s="855"/>
      <c r="D20" s="855"/>
      <c r="E20" s="855"/>
      <c r="F20" s="855"/>
      <c r="G20" s="856"/>
      <c r="H20" s="856"/>
      <c r="I20" s="856"/>
      <c r="J20" s="856"/>
      <c r="K20" s="856"/>
      <c r="L20" s="49"/>
      <c r="M20" s="49"/>
      <c r="S20" s="1146">
        <v>4.0999999999999996</v>
      </c>
      <c r="T20" s="1147" t="s">
        <v>2168</v>
      </c>
      <c r="U20" s="1147">
        <v>0.7</v>
      </c>
      <c r="V20" s="1147">
        <v>25</v>
      </c>
      <c r="W20" s="1147"/>
      <c r="X20" s="1148">
        <f t="shared" si="0"/>
        <v>35.714285714285715</v>
      </c>
    </row>
    <row r="21" spans="1:24" x14ac:dyDescent="0.25">
      <c r="A21" s="49"/>
      <c r="B21" s="857" t="s">
        <v>857</v>
      </c>
      <c r="C21" s="855"/>
      <c r="D21" s="855"/>
      <c r="E21" s="855"/>
      <c r="F21" s="855"/>
      <c r="G21" s="856"/>
      <c r="H21" s="856"/>
      <c r="I21" s="856"/>
      <c r="J21" s="856"/>
      <c r="K21" s="856"/>
      <c r="L21" s="49"/>
      <c r="M21" s="49"/>
      <c r="S21" s="1146">
        <v>4.2</v>
      </c>
      <c r="T21" s="1147" t="s">
        <v>2169</v>
      </c>
      <c r="U21" s="1147">
        <v>0.7</v>
      </c>
      <c r="V21" s="1147">
        <v>20</v>
      </c>
      <c r="W21" s="1147"/>
      <c r="X21" s="1148">
        <f t="shared" si="0"/>
        <v>28.571428571428573</v>
      </c>
    </row>
    <row r="22" spans="1:24" ht="55.5" customHeight="1" x14ac:dyDescent="0.25">
      <c r="A22" s="49"/>
      <c r="B22" s="2032" t="s">
        <v>2228</v>
      </c>
      <c r="C22" s="2032"/>
      <c r="D22" s="2032"/>
      <c r="E22" s="2032"/>
      <c r="F22" s="2032"/>
      <c r="G22" s="2032"/>
      <c r="H22" s="2032"/>
      <c r="I22" s="2032"/>
      <c r="J22" s="2032"/>
      <c r="K22" s="2032"/>
      <c r="L22" s="2032"/>
      <c r="M22" s="49"/>
      <c r="S22" s="1146">
        <v>4.3</v>
      </c>
      <c r="T22" s="1147" t="s">
        <v>2170</v>
      </c>
      <c r="U22" s="1147">
        <v>1.5</v>
      </c>
      <c r="V22" s="1147">
        <v>25</v>
      </c>
      <c r="W22" s="1147"/>
      <c r="X22" s="1148">
        <f t="shared" si="0"/>
        <v>16.666666666666668</v>
      </c>
    </row>
    <row r="23" spans="1:24" ht="9" customHeight="1" x14ac:dyDescent="0.25">
      <c r="A23" s="49"/>
      <c r="B23" s="64"/>
      <c r="C23" s="852"/>
      <c r="D23" s="852"/>
      <c r="E23" s="852"/>
      <c r="F23" s="852"/>
      <c r="G23" s="853"/>
      <c r="H23" s="853"/>
      <c r="I23" s="853"/>
      <c r="J23" s="853"/>
      <c r="K23" s="853"/>
      <c r="L23" s="49"/>
      <c r="M23" s="49"/>
      <c r="S23" s="1146">
        <v>4.4000000000000004</v>
      </c>
      <c r="T23" s="1147" t="s">
        <v>2171</v>
      </c>
      <c r="U23" s="1147">
        <v>1.6</v>
      </c>
      <c r="V23" s="1147">
        <v>30</v>
      </c>
      <c r="W23" s="1147"/>
      <c r="X23" s="1148">
        <f t="shared" si="0"/>
        <v>18.75</v>
      </c>
    </row>
    <row r="24" spans="1:24" x14ac:dyDescent="0.25">
      <c r="A24" s="49"/>
      <c r="B24" s="854" t="s">
        <v>2123</v>
      </c>
      <c r="C24" s="852"/>
      <c r="D24" s="852"/>
      <c r="E24" s="852"/>
      <c r="F24" s="852"/>
      <c r="G24" s="853"/>
      <c r="H24" s="853"/>
      <c r="I24" s="853"/>
      <c r="J24" s="853"/>
      <c r="K24" s="853"/>
      <c r="L24" s="49"/>
      <c r="M24" s="49"/>
      <c r="S24" s="1146">
        <v>5.0999999999999996</v>
      </c>
      <c r="T24" s="1147" t="s">
        <v>2172</v>
      </c>
      <c r="U24" s="1147">
        <v>2</v>
      </c>
      <c r="V24" s="1147">
        <v>25</v>
      </c>
      <c r="W24" s="1147"/>
      <c r="X24" s="1148">
        <f t="shared" si="0"/>
        <v>12.5</v>
      </c>
    </row>
    <row r="25" spans="1:24" x14ac:dyDescent="0.25">
      <c r="A25" s="49"/>
      <c r="B25" s="857" t="s">
        <v>530</v>
      </c>
      <c r="C25" s="852"/>
      <c r="D25" s="852"/>
      <c r="E25" s="852"/>
      <c r="F25" s="852"/>
      <c r="G25" s="853"/>
      <c r="H25" s="853"/>
      <c r="I25" s="853"/>
      <c r="J25" s="853"/>
      <c r="K25" s="853"/>
      <c r="L25" s="49"/>
      <c r="M25" s="49"/>
      <c r="S25" s="1146">
        <v>5.2</v>
      </c>
      <c r="T25" s="1147" t="s">
        <v>2173</v>
      </c>
      <c r="U25" s="1147">
        <v>3.3</v>
      </c>
      <c r="V25" s="1147">
        <v>35</v>
      </c>
      <c r="W25" s="1147"/>
      <c r="X25" s="1148">
        <f t="shared" si="0"/>
        <v>10.606060606060607</v>
      </c>
    </row>
    <row r="26" spans="1:24" ht="28.5" customHeight="1" x14ac:dyDescent="0.25">
      <c r="A26" s="49"/>
      <c r="B26" s="2032" t="s">
        <v>2313</v>
      </c>
      <c r="C26" s="2032"/>
      <c r="D26" s="2032"/>
      <c r="E26" s="2032"/>
      <c r="F26" s="2032"/>
      <c r="G26" s="2032"/>
      <c r="H26" s="2032"/>
      <c r="I26" s="2032"/>
      <c r="J26" s="2032"/>
      <c r="K26" s="2032"/>
      <c r="L26" s="49"/>
      <c r="M26" s="49"/>
      <c r="S26" s="1146">
        <v>5.3</v>
      </c>
      <c r="T26" s="1149" t="s">
        <v>2174</v>
      </c>
      <c r="U26" s="1147">
        <v>3.3</v>
      </c>
      <c r="V26" s="1147">
        <v>30</v>
      </c>
      <c r="W26" s="1147"/>
      <c r="X26" s="1148">
        <f t="shared" si="0"/>
        <v>9.0909090909090917</v>
      </c>
    </row>
    <row r="27" spans="1:24" ht="8.25" customHeight="1" x14ac:dyDescent="0.25">
      <c r="A27" s="49"/>
      <c r="B27" s="855"/>
      <c r="C27" s="852"/>
      <c r="D27" s="852"/>
      <c r="E27" s="852"/>
      <c r="F27" s="852"/>
      <c r="G27" s="853"/>
      <c r="H27" s="853"/>
      <c r="I27" s="853"/>
      <c r="J27" s="853"/>
      <c r="K27" s="853"/>
      <c r="L27" s="49"/>
      <c r="M27" s="49"/>
      <c r="S27" s="1146">
        <v>5.4</v>
      </c>
      <c r="T27" s="1147" t="s">
        <v>2175</v>
      </c>
      <c r="U27" s="1147">
        <v>5</v>
      </c>
      <c r="V27" s="1147">
        <v>25</v>
      </c>
      <c r="W27" s="1147"/>
      <c r="X27" s="1148">
        <f t="shared" si="0"/>
        <v>5</v>
      </c>
    </row>
    <row r="28" spans="1:24" x14ac:dyDescent="0.25">
      <c r="A28" s="49"/>
      <c r="B28" s="854" t="s">
        <v>2124</v>
      </c>
      <c r="C28" s="852"/>
      <c r="D28" s="852"/>
      <c r="E28" s="852"/>
      <c r="F28" s="852"/>
      <c r="G28" s="853"/>
      <c r="H28" s="853"/>
      <c r="I28" s="853"/>
      <c r="J28" s="853"/>
      <c r="K28" s="853"/>
      <c r="L28" s="49"/>
      <c r="M28" s="49"/>
      <c r="S28" s="1146">
        <v>5.5</v>
      </c>
      <c r="T28" s="1147" t="s">
        <v>2176</v>
      </c>
      <c r="U28" s="1147">
        <v>0.7</v>
      </c>
      <c r="V28" s="1147">
        <v>25</v>
      </c>
      <c r="W28" s="1147"/>
      <c r="X28" s="1148">
        <f t="shared" si="0"/>
        <v>35.714285714285715</v>
      </c>
    </row>
    <row r="29" spans="1:24" x14ac:dyDescent="0.25">
      <c r="A29" s="49"/>
      <c r="B29" s="857" t="s">
        <v>856</v>
      </c>
      <c r="C29" s="852"/>
      <c r="D29" s="852"/>
      <c r="E29" s="852"/>
      <c r="F29" s="852"/>
      <c r="G29" s="853"/>
      <c r="H29" s="853"/>
      <c r="I29" s="853"/>
      <c r="J29" s="853"/>
      <c r="K29" s="853"/>
      <c r="L29" s="49"/>
      <c r="M29" s="49"/>
      <c r="S29" s="1146">
        <v>5.6</v>
      </c>
      <c r="T29" s="1147" t="s">
        <v>2177</v>
      </c>
      <c r="U29" s="1147">
        <v>2</v>
      </c>
      <c r="V29" s="1147">
        <v>25</v>
      </c>
      <c r="W29" s="1147"/>
      <c r="X29" s="1148">
        <f t="shared" si="0"/>
        <v>12.5</v>
      </c>
    </row>
    <row r="30" spans="1:24" x14ac:dyDescent="0.25">
      <c r="A30" s="49"/>
      <c r="B30" s="855" t="s">
        <v>2138</v>
      </c>
      <c r="C30" s="852"/>
      <c r="D30" s="852"/>
      <c r="E30" s="852"/>
      <c r="F30" s="852"/>
      <c r="G30" s="853"/>
      <c r="H30" s="853"/>
      <c r="I30" s="853"/>
      <c r="J30" s="853"/>
      <c r="K30" s="853"/>
      <c r="L30" s="49"/>
      <c r="M30" s="49"/>
      <c r="S30" s="1146">
        <v>5.7</v>
      </c>
      <c r="T30" s="1147" t="s">
        <v>2178</v>
      </c>
      <c r="U30" s="1147"/>
      <c r="V30" s="1147" t="s">
        <v>121</v>
      </c>
      <c r="W30" s="1147">
        <v>2</v>
      </c>
      <c r="X30" s="1150">
        <f t="shared" ref="X30:X31" si="1">W30</f>
        <v>2</v>
      </c>
    </row>
    <row r="31" spans="1:24" ht="19.5" customHeight="1" x14ac:dyDescent="0.25">
      <c r="A31" s="49"/>
      <c r="B31" s="50"/>
      <c r="C31" s="50"/>
      <c r="D31" s="50"/>
      <c r="E31" s="50"/>
      <c r="F31" s="50"/>
      <c r="G31" s="49"/>
      <c r="H31" s="49"/>
      <c r="I31" s="49"/>
      <c r="J31" s="49"/>
      <c r="K31" s="49"/>
      <c r="L31" s="49"/>
      <c r="M31" s="49"/>
      <c r="S31" s="1146">
        <v>5.8</v>
      </c>
      <c r="T31" s="1147" t="s">
        <v>2179</v>
      </c>
      <c r="U31" s="1147"/>
      <c r="V31" s="1147" t="s">
        <v>121</v>
      </c>
      <c r="W31" s="1147">
        <v>9</v>
      </c>
      <c r="X31" s="1150">
        <f t="shared" si="1"/>
        <v>9</v>
      </c>
    </row>
    <row r="32" spans="1:24" ht="18" customHeight="1" x14ac:dyDescent="0.25">
      <c r="A32" s="2016" t="s">
        <v>23</v>
      </c>
      <c r="B32" s="2016"/>
      <c r="C32" s="2016"/>
      <c r="D32" s="2016"/>
      <c r="E32" s="2016"/>
      <c r="F32" s="2016"/>
      <c r="G32" s="2016"/>
      <c r="H32" s="2016"/>
      <c r="I32" s="2016"/>
      <c r="J32" s="2016"/>
      <c r="K32" s="2016"/>
      <c r="L32" s="2016"/>
      <c r="M32" s="2016"/>
      <c r="S32" s="1154">
        <v>6.1</v>
      </c>
      <c r="T32" s="1147" t="s">
        <v>2180</v>
      </c>
      <c r="U32" s="1147">
        <v>10</v>
      </c>
      <c r="V32" s="1147">
        <v>40</v>
      </c>
      <c r="W32" s="1147"/>
      <c r="X32" s="1148">
        <f t="shared" ref="X32:X34" si="2">V32/U32</f>
        <v>4</v>
      </c>
    </row>
    <row r="33" spans="1:24" ht="12" customHeight="1" x14ac:dyDescent="0.25">
      <c r="A33" s="49"/>
      <c r="B33" s="50"/>
      <c r="C33" s="50"/>
      <c r="D33" s="50"/>
      <c r="E33" s="50"/>
      <c r="F33" s="50"/>
      <c r="G33" s="49"/>
      <c r="H33" s="49"/>
      <c r="I33" s="49"/>
      <c r="J33" s="49"/>
      <c r="K33" s="49"/>
      <c r="L33" s="49"/>
      <c r="M33" s="49"/>
      <c r="S33" s="1154">
        <v>6.2</v>
      </c>
      <c r="T33" s="1147" t="s">
        <v>2181</v>
      </c>
      <c r="U33" s="1147">
        <v>5</v>
      </c>
      <c r="V33" s="1147">
        <v>25</v>
      </c>
      <c r="W33" s="1147"/>
      <c r="X33" s="1148">
        <f t="shared" si="2"/>
        <v>5</v>
      </c>
    </row>
    <row r="34" spans="1:24" x14ac:dyDescent="0.25">
      <c r="A34" s="49"/>
      <c r="B34" s="665" t="s">
        <v>2125</v>
      </c>
      <c r="C34" s="50"/>
      <c r="D34" s="50"/>
      <c r="E34" s="50"/>
      <c r="F34" s="50"/>
      <c r="G34" s="49"/>
      <c r="H34" s="49"/>
      <c r="I34" s="49"/>
      <c r="J34" s="49"/>
      <c r="K34" s="49"/>
      <c r="L34" s="49"/>
      <c r="M34" s="49"/>
      <c r="S34" s="1154">
        <v>6.3</v>
      </c>
      <c r="T34" s="1147" t="s">
        <v>2182</v>
      </c>
      <c r="U34" s="1147">
        <v>5</v>
      </c>
      <c r="V34" s="1147">
        <v>50</v>
      </c>
      <c r="W34" s="1147"/>
      <c r="X34" s="1148">
        <f t="shared" si="2"/>
        <v>10</v>
      </c>
    </row>
    <row r="35" spans="1:24" x14ac:dyDescent="0.25">
      <c r="A35" s="49"/>
      <c r="B35" s="665"/>
      <c r="C35" s="50"/>
      <c r="D35" s="50"/>
      <c r="E35" s="50"/>
      <c r="F35" s="50"/>
      <c r="G35" s="49"/>
      <c r="H35" s="49"/>
      <c r="I35" s="49"/>
      <c r="J35" s="49"/>
      <c r="K35" s="49"/>
      <c r="L35" s="49"/>
      <c r="M35" s="49"/>
      <c r="S35" s="1154">
        <v>6.4</v>
      </c>
      <c r="T35" s="1149" t="s">
        <v>2183</v>
      </c>
      <c r="U35" s="1147"/>
      <c r="V35" s="1147" t="s">
        <v>121</v>
      </c>
      <c r="W35" s="1147">
        <v>9</v>
      </c>
      <c r="X35" s="1150">
        <f>W35</f>
        <v>9</v>
      </c>
    </row>
    <row r="36" spans="1:24" ht="18.75" customHeight="1" x14ac:dyDescent="0.25">
      <c r="A36" s="49"/>
      <c r="B36" s="1597" t="s">
        <v>2126</v>
      </c>
      <c r="C36" s="1597"/>
      <c r="D36" s="1597"/>
      <c r="E36" s="1597"/>
      <c r="F36" s="1597"/>
      <c r="G36" s="1597"/>
      <c r="H36" s="1597"/>
      <c r="I36" s="1597"/>
      <c r="J36" s="49"/>
      <c r="K36" s="49"/>
      <c r="L36" s="49"/>
      <c r="M36" s="49"/>
      <c r="S36" s="1154">
        <v>6.5</v>
      </c>
      <c r="T36" s="1147" t="s">
        <v>2184</v>
      </c>
      <c r="U36" s="1147">
        <v>5</v>
      </c>
      <c r="V36" s="1147">
        <v>25</v>
      </c>
      <c r="W36" s="1147"/>
      <c r="X36" s="1148">
        <f t="shared" ref="X36:X40" si="3">V36/U36</f>
        <v>5</v>
      </c>
    </row>
    <row r="37" spans="1:24" ht="10.5" customHeight="1" x14ac:dyDescent="0.25">
      <c r="A37" s="49"/>
      <c r="B37" s="50"/>
      <c r="C37" s="50"/>
      <c r="D37" s="50"/>
      <c r="E37" s="50"/>
      <c r="F37" s="50"/>
      <c r="G37" s="49"/>
      <c r="H37" s="49"/>
      <c r="I37" s="49"/>
      <c r="J37" s="49"/>
      <c r="K37" s="49"/>
      <c r="L37" s="49"/>
      <c r="M37" s="49"/>
      <c r="S37" s="1154">
        <v>6.6</v>
      </c>
      <c r="T37" s="1147" t="s">
        <v>2185</v>
      </c>
      <c r="U37" s="1147">
        <v>1</v>
      </c>
      <c r="V37" s="1147">
        <v>25</v>
      </c>
      <c r="W37" s="1147"/>
      <c r="X37" s="1148">
        <f t="shared" si="3"/>
        <v>25</v>
      </c>
    </row>
    <row r="38" spans="1:24" ht="18" customHeight="1" x14ac:dyDescent="0.25">
      <c r="A38" s="49"/>
      <c r="B38" s="2035" t="s">
        <v>2127</v>
      </c>
      <c r="C38" s="2036"/>
      <c r="D38" s="2046" t="s">
        <v>2128</v>
      </c>
      <c r="E38" s="2046"/>
      <c r="F38" s="2046" t="s">
        <v>2309</v>
      </c>
      <c r="G38" s="2046"/>
      <c r="H38" s="49"/>
      <c r="I38" s="49"/>
      <c r="J38" s="49"/>
      <c r="K38" s="49"/>
      <c r="L38" s="49"/>
      <c r="M38" s="49"/>
      <c r="S38" s="1154">
        <v>6.7</v>
      </c>
      <c r="T38" s="1147" t="s">
        <v>2186</v>
      </c>
      <c r="U38" s="1147">
        <v>2.5</v>
      </c>
      <c r="V38" s="1147">
        <v>25</v>
      </c>
      <c r="W38" s="1147"/>
      <c r="X38" s="1148">
        <f t="shared" si="3"/>
        <v>10</v>
      </c>
    </row>
    <row r="39" spans="1:24" ht="18" customHeight="1" x14ac:dyDescent="0.25">
      <c r="A39" s="49"/>
      <c r="B39" s="1576" t="s">
        <v>2129</v>
      </c>
      <c r="C39" s="1578"/>
      <c r="D39" s="1763" t="s">
        <v>124</v>
      </c>
      <c r="E39" s="1841"/>
      <c r="F39" s="1763"/>
      <c r="G39" s="1841"/>
      <c r="H39" s="2044" t="str">
        <f>IF(SUM(F39:G41)=0,"",IF(SUM(F39:G41)&lt;&gt;K40,"/!\ Values of occupied areas should match with the net occupied area",""))</f>
        <v/>
      </c>
      <c r="I39" s="2045"/>
      <c r="J39" s="2045"/>
      <c r="K39" s="2045"/>
      <c r="L39" s="2045"/>
      <c r="M39" s="2045"/>
      <c r="S39" s="1146">
        <v>7.1</v>
      </c>
      <c r="T39" s="1147" t="s">
        <v>2187</v>
      </c>
      <c r="U39" s="1147">
        <v>0.7</v>
      </c>
      <c r="V39" s="1147">
        <v>25</v>
      </c>
      <c r="W39" s="1147"/>
      <c r="X39" s="1148">
        <f t="shared" si="3"/>
        <v>35.714285714285715</v>
      </c>
    </row>
    <row r="40" spans="1:24" ht="18" customHeight="1" x14ac:dyDescent="0.25">
      <c r="A40" s="49"/>
      <c r="B40" s="1576" t="s">
        <v>2130</v>
      </c>
      <c r="C40" s="1578"/>
      <c r="D40" s="1763" t="s">
        <v>124</v>
      </c>
      <c r="E40" s="1841"/>
      <c r="F40" s="1763"/>
      <c r="G40" s="1841"/>
      <c r="H40" s="49"/>
      <c r="I40" s="2043" t="s">
        <v>2220</v>
      </c>
      <c r="J40" s="2043"/>
      <c r="K40" s="376">
        <f>'Project information'!C34</f>
        <v>0</v>
      </c>
      <c r="L40" s="49"/>
      <c r="M40" s="49"/>
      <c r="S40" s="1146">
        <v>7.2</v>
      </c>
      <c r="T40" s="1147" t="s">
        <v>2188</v>
      </c>
      <c r="U40" s="1147">
        <v>1.4</v>
      </c>
      <c r="V40" s="1147">
        <v>35</v>
      </c>
      <c r="W40" s="1147"/>
      <c r="X40" s="1148">
        <f t="shared" si="3"/>
        <v>25</v>
      </c>
    </row>
    <row r="41" spans="1:24" ht="18" customHeight="1" x14ac:dyDescent="0.25">
      <c r="A41" s="49"/>
      <c r="B41" s="1576" t="s">
        <v>2131</v>
      </c>
      <c r="C41" s="1578"/>
      <c r="D41" s="1763" t="s">
        <v>124</v>
      </c>
      <c r="E41" s="1841"/>
      <c r="F41" s="1763"/>
      <c r="G41" s="1841"/>
      <c r="H41" s="49"/>
      <c r="I41" s="49"/>
      <c r="J41" s="49"/>
      <c r="K41" s="49"/>
      <c r="L41" s="49"/>
      <c r="M41" s="49"/>
      <c r="S41" s="1146">
        <v>7.3</v>
      </c>
      <c r="T41" s="1147" t="s">
        <v>2189</v>
      </c>
      <c r="U41" s="1147"/>
      <c r="V41" s="1147" t="s">
        <v>121</v>
      </c>
      <c r="W41" s="1147">
        <v>9</v>
      </c>
      <c r="X41" s="1150">
        <f>W41</f>
        <v>9</v>
      </c>
    </row>
    <row r="42" spans="1:24" ht="13.5" customHeight="1" x14ac:dyDescent="0.25">
      <c r="A42" s="49"/>
      <c r="B42" s="185"/>
      <c r="C42" s="50"/>
      <c r="D42" s="50"/>
      <c r="E42" s="50"/>
      <c r="F42" s="50"/>
      <c r="G42" s="49"/>
      <c r="H42" s="49"/>
      <c r="I42" s="49"/>
      <c r="J42" s="49"/>
      <c r="K42" s="49"/>
      <c r="L42" s="49"/>
      <c r="M42" s="49"/>
      <c r="S42" s="1146">
        <v>7.4</v>
      </c>
      <c r="T42" s="1147" t="s">
        <v>2190</v>
      </c>
      <c r="U42" s="1147"/>
      <c r="V42" s="1147" t="s">
        <v>121</v>
      </c>
      <c r="W42" s="1147">
        <v>9</v>
      </c>
      <c r="X42" s="1150">
        <f>W42</f>
        <v>9</v>
      </c>
    </row>
    <row r="43" spans="1:24" ht="19.5" customHeight="1" x14ac:dyDescent="0.25">
      <c r="A43" s="49"/>
      <c r="B43" s="1016" t="s">
        <v>2304</v>
      </c>
      <c r="C43" s="1015"/>
      <c r="D43" s="1015"/>
      <c r="E43" s="1015"/>
      <c r="F43" s="1015"/>
      <c r="G43" s="1015"/>
      <c r="H43" s="1015"/>
      <c r="I43" s="1015"/>
      <c r="J43" s="49"/>
      <c r="K43" s="49"/>
      <c r="L43" s="49"/>
      <c r="M43" s="49"/>
      <c r="S43" s="1146">
        <v>7.5</v>
      </c>
      <c r="T43" s="1147" t="s">
        <v>2191</v>
      </c>
      <c r="U43" s="1147">
        <v>1</v>
      </c>
      <c r="V43" s="1147">
        <v>40</v>
      </c>
      <c r="W43" s="1147"/>
      <c r="X43" s="1148">
        <f t="shared" ref="X43:X44" si="4">V43/U43</f>
        <v>40</v>
      </c>
    </row>
    <row r="44" spans="1:24" ht="22.5" customHeight="1" x14ac:dyDescent="0.25">
      <c r="A44" s="49"/>
      <c r="B44" s="2040" t="s">
        <v>2315</v>
      </c>
      <c r="C44" s="2040"/>
      <c r="D44" s="2040"/>
      <c r="E44" s="2040"/>
      <c r="F44" s="2040"/>
      <c r="G44" s="2040"/>
      <c r="H44" s="2040"/>
      <c r="I44" s="2040"/>
      <c r="J44" s="49"/>
      <c r="K44" s="49"/>
      <c r="L44" s="49"/>
      <c r="M44" s="49"/>
      <c r="S44" s="1146">
        <v>7.6</v>
      </c>
      <c r="T44" s="1147" t="s">
        <v>2192</v>
      </c>
      <c r="U44" s="1147">
        <v>1.4</v>
      </c>
      <c r="V44" s="1147">
        <v>40</v>
      </c>
      <c r="W44" s="1147"/>
      <c r="X44" s="1148">
        <f t="shared" si="4"/>
        <v>28.571428571428573</v>
      </c>
    </row>
    <row r="45" spans="1:24" ht="10.5" customHeight="1" x14ac:dyDescent="0.25">
      <c r="A45" s="49"/>
      <c r="B45" s="185"/>
      <c r="C45" s="50"/>
      <c r="D45" s="50"/>
      <c r="E45" s="50"/>
      <c r="F45" s="50"/>
      <c r="G45" s="49"/>
      <c r="H45" s="49"/>
      <c r="I45" s="49"/>
      <c r="J45" s="49"/>
      <c r="K45" s="49"/>
      <c r="L45" s="49"/>
      <c r="M45" s="49"/>
      <c r="S45" s="1146">
        <v>8.1</v>
      </c>
      <c r="T45" s="1147" t="s">
        <v>2193</v>
      </c>
      <c r="U45" s="1147"/>
      <c r="V45" s="1147"/>
      <c r="W45" s="1147">
        <v>1</v>
      </c>
      <c r="X45" s="1150">
        <f t="shared" ref="X45:X47" si="5">W45</f>
        <v>1</v>
      </c>
    </row>
    <row r="46" spans="1:24" ht="47.25" customHeight="1" x14ac:dyDescent="0.25">
      <c r="A46" s="49"/>
      <c r="B46" s="44" t="s">
        <v>1874</v>
      </c>
      <c r="C46" s="1123" t="s">
        <v>531</v>
      </c>
      <c r="D46" s="247" t="s">
        <v>40</v>
      </c>
      <c r="E46" s="2022" t="s">
        <v>532</v>
      </c>
      <c r="F46" s="2022"/>
      <c r="G46" s="247" t="s">
        <v>2133</v>
      </c>
      <c r="H46" s="247" t="s">
        <v>2134</v>
      </c>
      <c r="I46" s="247" t="s">
        <v>855</v>
      </c>
      <c r="J46" s="1123" t="s">
        <v>2132</v>
      </c>
      <c r="K46" s="2034" t="s">
        <v>172</v>
      </c>
      <c r="L46" s="2034"/>
      <c r="M46" s="49"/>
      <c r="N46" s="49"/>
      <c r="S46" s="1146">
        <v>8.1999999999999993</v>
      </c>
      <c r="T46" s="1147" t="s">
        <v>2194</v>
      </c>
      <c r="U46" s="1147">
        <v>5</v>
      </c>
      <c r="V46" s="1147" t="s">
        <v>121</v>
      </c>
      <c r="W46" s="1147">
        <v>4</v>
      </c>
      <c r="X46" s="1150">
        <f t="shared" si="5"/>
        <v>4</v>
      </c>
    </row>
    <row r="47" spans="1:24" x14ac:dyDescent="0.25">
      <c r="A47" s="49"/>
      <c r="B47" s="246"/>
      <c r="C47" s="1116" t="s">
        <v>124</v>
      </c>
      <c r="D47" s="266"/>
      <c r="E47" s="2017"/>
      <c r="F47" s="2018"/>
      <c r="G47" s="167"/>
      <c r="H47" s="167"/>
      <c r="I47" s="167" t="s">
        <v>124</v>
      </c>
      <c r="J47" s="1122"/>
      <c r="K47" s="2023" t="str">
        <f>IF(OR(G47="",H47=""),"",IF(AND(G47&gt;=0.04*D47,H47&lt;8),"Yes",IF(AND(I47="Yes",J47&gt;=0.08*D47,J47&gt;2.3,H47&lt;8),"Yes","No")))</f>
        <v/>
      </c>
      <c r="L47" s="2023"/>
      <c r="M47" s="49"/>
      <c r="N47" s="49"/>
      <c r="O47" s="38">
        <f>IF(K47="Yes",D47,0)</f>
        <v>0</v>
      </c>
      <c r="S47" s="1146">
        <v>8.3000000000000007</v>
      </c>
      <c r="T47" s="1147" t="s">
        <v>2195</v>
      </c>
      <c r="U47" s="1147">
        <v>20</v>
      </c>
      <c r="V47" s="1147" t="s">
        <v>121</v>
      </c>
      <c r="W47" s="1147">
        <v>1</v>
      </c>
      <c r="X47" s="1150">
        <f t="shared" si="5"/>
        <v>1</v>
      </c>
    </row>
    <row r="48" spans="1:24" x14ac:dyDescent="0.25">
      <c r="A48" s="49"/>
      <c r="B48" s="246"/>
      <c r="C48" s="1116" t="s">
        <v>124</v>
      </c>
      <c r="D48" s="266"/>
      <c r="E48" s="2017"/>
      <c r="F48" s="2018"/>
      <c r="G48" s="167"/>
      <c r="H48" s="167"/>
      <c r="I48" s="167" t="s">
        <v>124</v>
      </c>
      <c r="J48" s="1122"/>
      <c r="K48" s="2023" t="str">
        <f>IF(OR(G48="",H48=""),"",IF(AND(G48&gt;=0.04*D48,H48&lt;8),"Yes",IF(AND(I48="Yes",J48&gt;=0.08*D48,J48&gt;2.3,H48&lt;8),"Yes","No")))</f>
        <v/>
      </c>
      <c r="L48" s="2023"/>
      <c r="M48" s="49"/>
      <c r="N48" s="49"/>
      <c r="O48" s="38">
        <f t="shared" ref="O48:O55" si="6">IF(K48="Yes",D48,0)</f>
        <v>0</v>
      </c>
      <c r="S48" s="1146">
        <v>8.4</v>
      </c>
      <c r="T48" s="1147" t="s">
        <v>2196</v>
      </c>
      <c r="U48" s="1147">
        <v>1.5</v>
      </c>
      <c r="V48" s="1147">
        <v>25</v>
      </c>
      <c r="W48" s="1147"/>
      <c r="X48" s="1148">
        <f t="shared" ref="X48:X51" si="7">V48/U48</f>
        <v>16.666666666666668</v>
      </c>
    </row>
    <row r="49" spans="1:24" x14ac:dyDescent="0.25">
      <c r="A49" s="49"/>
      <c r="B49" s="1116"/>
      <c r="C49" s="1116" t="s">
        <v>124</v>
      </c>
      <c r="D49" s="1116"/>
      <c r="E49" s="2017"/>
      <c r="F49" s="2018"/>
      <c r="G49" s="1121"/>
      <c r="H49" s="1121"/>
      <c r="I49" s="1121" t="s">
        <v>124</v>
      </c>
      <c r="J49" s="1122"/>
      <c r="K49" s="2023" t="str">
        <f t="shared" ref="K49:K53" si="8">IF(OR(G49="",H49=""),"",IF(AND(G49&gt;=0.04*D49,H49&lt;8),"Yes",IF(AND(I49="Yes",J49&gt;=0.08*D49,J49&gt;2.3,H49&lt;8),"Yes","No")))</f>
        <v/>
      </c>
      <c r="L49" s="2023"/>
      <c r="M49" s="49"/>
      <c r="N49" s="49"/>
      <c r="O49" s="38">
        <f t="shared" si="6"/>
        <v>0</v>
      </c>
      <c r="S49" s="1146">
        <v>8.5</v>
      </c>
      <c r="T49" s="1147" t="s">
        <v>2197</v>
      </c>
      <c r="U49" s="1147">
        <v>1.5</v>
      </c>
      <c r="V49" s="1147">
        <v>30</v>
      </c>
      <c r="W49" s="1147"/>
      <c r="X49" s="1148">
        <f t="shared" si="7"/>
        <v>20</v>
      </c>
    </row>
    <row r="50" spans="1:24" x14ac:dyDescent="0.25">
      <c r="A50" s="49"/>
      <c r="B50" s="1116"/>
      <c r="C50" s="1116" t="s">
        <v>124</v>
      </c>
      <c r="D50" s="1116"/>
      <c r="E50" s="2017"/>
      <c r="F50" s="2018"/>
      <c r="G50" s="1121"/>
      <c r="H50" s="1121"/>
      <c r="I50" s="1121" t="s">
        <v>124</v>
      </c>
      <c r="J50" s="1122"/>
      <c r="K50" s="2023" t="str">
        <f t="shared" si="8"/>
        <v/>
      </c>
      <c r="L50" s="2023"/>
      <c r="M50" s="49"/>
      <c r="N50" s="49"/>
      <c r="O50" s="38">
        <f t="shared" si="6"/>
        <v>0</v>
      </c>
      <c r="S50" s="1146">
        <v>9.1</v>
      </c>
      <c r="T50" s="1147" t="s">
        <v>2198</v>
      </c>
      <c r="U50" s="1147">
        <v>4</v>
      </c>
      <c r="V50" s="1147">
        <v>25</v>
      </c>
      <c r="W50" s="1147"/>
      <c r="X50" s="1148">
        <f t="shared" si="7"/>
        <v>6.25</v>
      </c>
    </row>
    <row r="51" spans="1:24" x14ac:dyDescent="0.25">
      <c r="A51" s="49"/>
      <c r="B51" s="1116"/>
      <c r="C51" s="1116" t="s">
        <v>124</v>
      </c>
      <c r="D51" s="1116"/>
      <c r="E51" s="2017"/>
      <c r="F51" s="2018"/>
      <c r="G51" s="1121"/>
      <c r="H51" s="1121"/>
      <c r="I51" s="1121" t="s">
        <v>124</v>
      </c>
      <c r="J51" s="1122"/>
      <c r="K51" s="2023" t="str">
        <f t="shared" si="8"/>
        <v/>
      </c>
      <c r="L51" s="2023"/>
      <c r="M51" s="49"/>
      <c r="N51" s="49"/>
      <c r="O51" s="38">
        <f t="shared" si="6"/>
        <v>0</v>
      </c>
      <c r="S51" s="1146">
        <v>9.1999999999999993</v>
      </c>
      <c r="T51" s="1147" t="s">
        <v>2199</v>
      </c>
      <c r="U51" s="1147">
        <v>4</v>
      </c>
      <c r="V51" s="1147">
        <v>40</v>
      </c>
      <c r="W51" s="1147"/>
      <c r="X51" s="1148">
        <f t="shared" si="7"/>
        <v>10</v>
      </c>
    </row>
    <row r="52" spans="1:24" x14ac:dyDescent="0.25">
      <c r="A52" s="49"/>
      <c r="B52" s="1116"/>
      <c r="C52" s="1116" t="s">
        <v>124</v>
      </c>
      <c r="D52" s="1116"/>
      <c r="E52" s="2017"/>
      <c r="F52" s="2018"/>
      <c r="G52" s="1121"/>
      <c r="H52" s="1121"/>
      <c r="I52" s="1121" t="s">
        <v>124</v>
      </c>
      <c r="J52" s="1122"/>
      <c r="K52" s="2023" t="str">
        <f t="shared" si="8"/>
        <v/>
      </c>
      <c r="L52" s="2023"/>
      <c r="M52" s="49"/>
      <c r="N52" s="49"/>
      <c r="O52" s="38">
        <f>IF(K52="Yes",D52,0)</f>
        <v>0</v>
      </c>
      <c r="S52" s="1146">
        <v>9.3000000000000007</v>
      </c>
      <c r="T52" s="1147" t="s">
        <v>2200</v>
      </c>
      <c r="U52" s="1147"/>
      <c r="V52" s="1147" t="s">
        <v>121</v>
      </c>
      <c r="W52" s="1147">
        <v>5</v>
      </c>
      <c r="X52" s="1150">
        <f>W52</f>
        <v>5</v>
      </c>
    </row>
    <row r="53" spans="1:24" x14ac:dyDescent="0.25">
      <c r="A53" s="49"/>
      <c r="B53" s="1116"/>
      <c r="C53" s="1116" t="s">
        <v>124</v>
      </c>
      <c r="D53" s="1116"/>
      <c r="E53" s="2017"/>
      <c r="F53" s="2018"/>
      <c r="G53" s="1121"/>
      <c r="H53" s="1121"/>
      <c r="I53" s="1121" t="s">
        <v>124</v>
      </c>
      <c r="J53" s="1122"/>
      <c r="K53" s="2023" t="str">
        <f t="shared" si="8"/>
        <v/>
      </c>
      <c r="L53" s="2023"/>
      <c r="M53" s="49"/>
      <c r="N53" s="49"/>
      <c r="O53" s="38">
        <f t="shared" si="6"/>
        <v>0</v>
      </c>
      <c r="S53" s="1146">
        <v>9.4</v>
      </c>
      <c r="T53" s="1147" t="s">
        <v>2201</v>
      </c>
      <c r="U53" s="1147">
        <v>12</v>
      </c>
      <c r="V53" s="1147">
        <v>25</v>
      </c>
      <c r="W53" s="1147"/>
      <c r="X53" s="1148">
        <f t="shared" ref="X53:X61" si="9">V53/U53</f>
        <v>2.0833333333333335</v>
      </c>
    </row>
    <row r="54" spans="1:24" x14ac:dyDescent="0.25">
      <c r="A54" s="49"/>
      <c r="B54" s="876"/>
      <c r="C54" s="1116" t="s">
        <v>124</v>
      </c>
      <c r="D54" s="876"/>
      <c r="E54" s="2017"/>
      <c r="F54" s="2018"/>
      <c r="G54" s="878"/>
      <c r="H54" s="878"/>
      <c r="I54" s="878" t="s">
        <v>124</v>
      </c>
      <c r="J54" s="1122"/>
      <c r="K54" s="2023" t="s">
        <v>2135</v>
      </c>
      <c r="L54" s="2023"/>
      <c r="M54" s="49"/>
      <c r="N54" s="49"/>
      <c r="O54" s="38">
        <f t="shared" si="6"/>
        <v>0</v>
      </c>
      <c r="S54" s="1146">
        <v>9.5</v>
      </c>
      <c r="T54" s="1147" t="s">
        <v>2202</v>
      </c>
      <c r="U54" s="1147">
        <v>12</v>
      </c>
      <c r="V54" s="1147">
        <v>25</v>
      </c>
      <c r="W54" s="1147"/>
      <c r="X54" s="1148">
        <f t="shared" si="9"/>
        <v>2.0833333333333335</v>
      </c>
    </row>
    <row r="55" spans="1:24" x14ac:dyDescent="0.25">
      <c r="A55" s="49"/>
      <c r="B55" s="876"/>
      <c r="C55" s="1116" t="s">
        <v>124</v>
      </c>
      <c r="D55" s="876"/>
      <c r="E55" s="2017"/>
      <c r="F55" s="2018"/>
      <c r="G55" s="878"/>
      <c r="H55" s="878"/>
      <c r="I55" s="878" t="s">
        <v>124</v>
      </c>
      <c r="J55" s="1122"/>
      <c r="K55" s="2023" t="str">
        <f t="shared" ref="K55" si="10">IF(OR(G55="",H55=""),"",IF(AND(G55&gt;=0.04*D55,H55&lt;8),"Yes",IF(AND(I55="Yes",J55&gt;=0.08*D55,J55&gt;2.3,H55&lt;8),"Yes","No")))</f>
        <v/>
      </c>
      <c r="L55" s="2023"/>
      <c r="M55" s="49"/>
      <c r="N55" s="49"/>
      <c r="O55" s="38">
        <f t="shared" si="6"/>
        <v>0</v>
      </c>
      <c r="S55" s="1146">
        <v>10.1</v>
      </c>
      <c r="T55" s="1147" t="s">
        <v>2204</v>
      </c>
      <c r="U55" s="1147">
        <v>1</v>
      </c>
      <c r="V55" s="1147">
        <v>25</v>
      </c>
      <c r="W55" s="1147"/>
      <c r="X55" s="1148">
        <f t="shared" si="9"/>
        <v>25</v>
      </c>
    </row>
    <row r="56" spans="1:24" x14ac:dyDescent="0.25">
      <c r="A56" s="49"/>
      <c r="B56" s="246"/>
      <c r="C56" s="1116" t="s">
        <v>124</v>
      </c>
      <c r="D56" s="266"/>
      <c r="E56" s="2017"/>
      <c r="F56" s="2018"/>
      <c r="G56" s="167"/>
      <c r="H56" s="167"/>
      <c r="I56" s="167" t="s">
        <v>124</v>
      </c>
      <c r="J56" s="1122"/>
      <c r="K56" s="2023" t="str">
        <f t="shared" ref="K56:K61" si="11">IF(OR(G56="",H56=""),"",IF(AND(G56&gt;=0.04*D56,H56&lt;8),"Yes",IF(AND(I56="Yes",J56&gt;=0.08*D56,J56&gt;2.3,H56&lt;8),"Yes","No")))</f>
        <v/>
      </c>
      <c r="L56" s="2023"/>
      <c r="M56" s="49"/>
      <c r="N56" s="49"/>
      <c r="O56" s="38">
        <f t="shared" ref="O56:O60" si="12">IF(K56="Yes",D56,0)</f>
        <v>0</v>
      </c>
      <c r="S56" s="1146">
        <v>10.199999999999999</v>
      </c>
      <c r="T56" s="1147" t="s">
        <v>2203</v>
      </c>
      <c r="U56" s="1147">
        <v>1</v>
      </c>
      <c r="V56" s="1147">
        <v>25</v>
      </c>
      <c r="W56" s="1147"/>
      <c r="X56" s="1148">
        <f t="shared" si="9"/>
        <v>25</v>
      </c>
    </row>
    <row r="57" spans="1:24" x14ac:dyDescent="0.25">
      <c r="A57" s="49"/>
      <c r="B57" s="246"/>
      <c r="C57" s="1116" t="s">
        <v>124</v>
      </c>
      <c r="D57" s="266"/>
      <c r="E57" s="2017"/>
      <c r="F57" s="2018"/>
      <c r="G57" s="167"/>
      <c r="H57" s="167"/>
      <c r="I57" s="167" t="s">
        <v>124</v>
      </c>
      <c r="J57" s="1122"/>
      <c r="K57" s="2023" t="str">
        <f t="shared" si="11"/>
        <v/>
      </c>
      <c r="L57" s="2023"/>
      <c r="M57" s="49"/>
      <c r="N57" s="49"/>
      <c r="O57" s="38">
        <f t="shared" si="12"/>
        <v>0</v>
      </c>
      <c r="S57" s="1146">
        <v>11.1</v>
      </c>
      <c r="T57" s="1147" t="s">
        <v>2205</v>
      </c>
      <c r="U57" s="1147">
        <v>9</v>
      </c>
      <c r="V57" s="1147">
        <v>25</v>
      </c>
      <c r="W57" s="1147"/>
      <c r="X57" s="1148">
        <f t="shared" si="9"/>
        <v>2.7777777777777777</v>
      </c>
    </row>
    <row r="58" spans="1:24" x14ac:dyDescent="0.25">
      <c r="A58" s="49"/>
      <c r="B58" s="246"/>
      <c r="C58" s="1116" t="s">
        <v>124</v>
      </c>
      <c r="D58" s="266"/>
      <c r="E58" s="2017"/>
      <c r="F58" s="2018"/>
      <c r="G58" s="167"/>
      <c r="H58" s="167"/>
      <c r="I58" s="167" t="s">
        <v>124</v>
      </c>
      <c r="J58" s="1122"/>
      <c r="K58" s="2023" t="str">
        <f t="shared" si="11"/>
        <v/>
      </c>
      <c r="L58" s="2023"/>
      <c r="M58" s="49"/>
      <c r="N58" s="49"/>
      <c r="O58" s="38">
        <f t="shared" si="12"/>
        <v>0</v>
      </c>
      <c r="S58" s="1146">
        <v>11.2</v>
      </c>
      <c r="T58" s="1147" t="s">
        <v>2206</v>
      </c>
      <c r="U58" s="1147">
        <v>1</v>
      </c>
      <c r="V58" s="1147">
        <v>30</v>
      </c>
      <c r="W58" s="1147"/>
      <c r="X58" s="1148">
        <f t="shared" si="9"/>
        <v>30</v>
      </c>
    </row>
    <row r="59" spans="1:24" x14ac:dyDescent="0.25">
      <c r="A59" s="49"/>
      <c r="B59" s="246"/>
      <c r="C59" s="1116" t="s">
        <v>124</v>
      </c>
      <c r="D59" s="266"/>
      <c r="E59" s="2017"/>
      <c r="F59" s="2018"/>
      <c r="G59" s="167"/>
      <c r="H59" s="167"/>
      <c r="I59" s="167" t="s">
        <v>124</v>
      </c>
      <c r="J59" s="1122"/>
      <c r="K59" s="2023" t="str">
        <f t="shared" si="11"/>
        <v/>
      </c>
      <c r="L59" s="2023"/>
      <c r="M59" s="49"/>
      <c r="N59" s="49"/>
      <c r="O59" s="38">
        <f t="shared" si="12"/>
        <v>0</v>
      </c>
      <c r="S59" s="1146">
        <v>11.3</v>
      </c>
      <c r="T59" s="1147" t="s">
        <v>2207</v>
      </c>
      <c r="U59" s="1147">
        <v>2</v>
      </c>
      <c r="V59" s="1147">
        <v>25</v>
      </c>
      <c r="W59" s="1147"/>
      <c r="X59" s="1148">
        <f t="shared" si="9"/>
        <v>12.5</v>
      </c>
    </row>
    <row r="60" spans="1:24" x14ac:dyDescent="0.25">
      <c r="A60" s="49"/>
      <c r="B60" s="246"/>
      <c r="C60" s="1116" t="s">
        <v>124</v>
      </c>
      <c r="D60" s="266"/>
      <c r="E60" s="2017"/>
      <c r="F60" s="2018"/>
      <c r="G60" s="168"/>
      <c r="H60" s="168"/>
      <c r="I60" s="167" t="s">
        <v>124</v>
      </c>
      <c r="J60" s="1122"/>
      <c r="K60" s="2023" t="str">
        <f t="shared" si="11"/>
        <v/>
      </c>
      <c r="L60" s="2023"/>
      <c r="M60" s="49"/>
      <c r="N60" s="49"/>
      <c r="O60" s="38">
        <f t="shared" si="12"/>
        <v>0</v>
      </c>
      <c r="S60" s="1146">
        <v>12.1</v>
      </c>
      <c r="T60" s="1147" t="s">
        <v>2208</v>
      </c>
      <c r="U60" s="1147">
        <v>9</v>
      </c>
      <c r="V60" s="1147">
        <v>35</v>
      </c>
      <c r="W60" s="1147"/>
      <c r="X60" s="1148">
        <f t="shared" si="9"/>
        <v>3.8888888888888888</v>
      </c>
    </row>
    <row r="61" spans="1:24" x14ac:dyDescent="0.25">
      <c r="A61" s="49"/>
      <c r="B61" s="246"/>
      <c r="C61" s="1116" t="s">
        <v>124</v>
      </c>
      <c r="D61" s="266"/>
      <c r="E61" s="2017"/>
      <c r="F61" s="2018"/>
      <c r="G61" s="168"/>
      <c r="H61" s="168"/>
      <c r="I61" s="167" t="s">
        <v>124</v>
      </c>
      <c r="J61" s="1122"/>
      <c r="K61" s="2023" t="str">
        <f t="shared" si="11"/>
        <v/>
      </c>
      <c r="L61" s="2023"/>
      <c r="M61" s="49"/>
      <c r="N61" s="49"/>
      <c r="O61" s="38">
        <f>IF(K61="Yes",D61,0)</f>
        <v>0</v>
      </c>
      <c r="S61" s="1151">
        <v>12.2</v>
      </c>
      <c r="T61" s="1152" t="s">
        <v>2209</v>
      </c>
      <c r="U61" s="1152">
        <v>9</v>
      </c>
      <c r="V61" s="1152">
        <v>30</v>
      </c>
      <c r="W61" s="1152"/>
      <c r="X61" s="1153">
        <f t="shared" si="9"/>
        <v>3.3333333333333335</v>
      </c>
    </row>
    <row r="62" spans="1:24" x14ac:dyDescent="0.25">
      <c r="A62" s="49"/>
      <c r="B62" s="185"/>
      <c r="C62" s="50"/>
      <c r="D62" s="50"/>
      <c r="E62" s="50"/>
      <c r="F62" s="50"/>
      <c r="G62" s="49"/>
      <c r="H62" s="49"/>
      <c r="I62" s="49"/>
      <c r="J62" s="49"/>
      <c r="K62" s="49"/>
      <c r="L62" s="49"/>
      <c r="M62" s="49"/>
    </row>
    <row r="63" spans="1:24" ht="17.25" customHeight="1" x14ac:dyDescent="0.25">
      <c r="A63" s="49"/>
      <c r="B63" s="1016" t="s">
        <v>2305</v>
      </c>
      <c r="C63" s="1015"/>
      <c r="D63" s="1015"/>
      <c r="E63" s="1015"/>
      <c r="F63" s="1015"/>
      <c r="G63" s="1015"/>
      <c r="H63" s="1015"/>
      <c r="I63" s="1015"/>
      <c r="J63" s="49"/>
      <c r="K63" s="49"/>
      <c r="L63" s="49"/>
      <c r="M63" s="49"/>
      <c r="N63" s="49"/>
    </row>
    <row r="64" spans="1:24" ht="27.75" customHeight="1" x14ac:dyDescent="0.25">
      <c r="A64" s="49"/>
      <c r="B64" s="2040" t="s">
        <v>2316</v>
      </c>
      <c r="C64" s="2040"/>
      <c r="D64" s="2040"/>
      <c r="E64" s="2040"/>
      <c r="F64" s="2040"/>
      <c r="G64" s="2040"/>
      <c r="H64" s="2040"/>
      <c r="I64" s="2040"/>
      <c r="J64" s="49"/>
      <c r="K64" s="49"/>
      <c r="L64" s="49"/>
      <c r="M64" s="49"/>
      <c r="N64" s="49"/>
    </row>
    <row r="65" spans="1:36" ht="13.5" customHeight="1" x14ac:dyDescent="0.25">
      <c r="A65" s="49"/>
      <c r="B65" s="2024"/>
      <c r="C65" s="2024"/>
      <c r="D65" s="2024"/>
      <c r="E65" s="2024"/>
      <c r="F65" s="2024"/>
      <c r="G65" s="2024"/>
      <c r="H65" s="2024"/>
      <c r="I65" s="2024"/>
      <c r="J65" s="2024"/>
      <c r="K65" s="49"/>
      <c r="L65" s="49"/>
      <c r="M65" s="49"/>
      <c r="N65" s="49"/>
    </row>
    <row r="66" spans="1:36" ht="15" customHeight="1" x14ac:dyDescent="0.25">
      <c r="A66" s="49"/>
      <c r="B66" s="1229" t="s">
        <v>2307</v>
      </c>
      <c r="C66" s="853"/>
      <c r="D66" s="853"/>
      <c r="E66" s="853"/>
      <c r="F66" s="853"/>
      <c r="G66" s="853"/>
      <c r="H66" s="1230"/>
      <c r="I66" s="1230"/>
      <c r="J66" s="1230"/>
      <c r="K66" s="853"/>
      <c r="L66" s="49"/>
      <c r="M66" s="49"/>
      <c r="N66" s="49"/>
    </row>
    <row r="67" spans="1:36" ht="27.75" customHeight="1" x14ac:dyDescent="0.25">
      <c r="A67" s="49"/>
      <c r="B67" s="2027" t="s">
        <v>2308</v>
      </c>
      <c r="C67" s="2027"/>
      <c r="D67" s="2027"/>
      <c r="E67" s="2027"/>
      <c r="F67" s="2027"/>
      <c r="G67" s="2027"/>
      <c r="H67" s="2027"/>
      <c r="I67" s="2027"/>
      <c r="J67" s="2027"/>
      <c r="K67" s="2027"/>
      <c r="L67" s="49"/>
      <c r="M67" s="49"/>
      <c r="N67" s="49"/>
    </row>
    <row r="68" spans="1:36" x14ac:dyDescent="0.25">
      <c r="A68" s="49"/>
      <c r="B68" s="49"/>
      <c r="C68" s="49"/>
      <c r="D68" s="49"/>
      <c r="E68" s="49"/>
      <c r="F68" s="49"/>
      <c r="G68" s="49"/>
      <c r="H68" s="1198"/>
      <c r="I68" s="1198"/>
      <c r="J68" s="1198"/>
      <c r="K68" s="49"/>
      <c r="L68" s="49"/>
      <c r="M68" s="49"/>
      <c r="N68" s="49"/>
    </row>
    <row r="69" spans="1:36" ht="15" customHeight="1" x14ac:dyDescent="0.25">
      <c r="A69" s="49"/>
      <c r="B69" s="2041" t="s">
        <v>2306</v>
      </c>
      <c r="C69" s="2042"/>
      <c r="D69" s="2025" t="s">
        <v>124</v>
      </c>
      <c r="E69" s="2026"/>
      <c r="F69" s="2047" t="s">
        <v>2310</v>
      </c>
      <c r="G69" s="2048"/>
      <c r="H69" s="2028"/>
      <c r="I69" s="2029"/>
      <c r="J69" s="1198"/>
      <c r="K69" s="49"/>
      <c r="L69" s="49"/>
      <c r="M69" s="49"/>
      <c r="N69" s="49"/>
    </row>
    <row r="70" spans="1:36" x14ac:dyDescent="0.25">
      <c r="A70" s="49"/>
      <c r="B70" s="185"/>
      <c r="C70" s="50"/>
      <c r="D70" s="50"/>
      <c r="E70" s="50"/>
      <c r="F70" s="50"/>
      <c r="G70" s="49"/>
      <c r="H70" s="49"/>
      <c r="I70" s="49"/>
      <c r="J70" s="49"/>
      <c r="K70" s="49"/>
      <c r="L70" s="49"/>
      <c r="M70" s="49"/>
      <c r="N70" s="49"/>
      <c r="P70" s="38" t="s">
        <v>124</v>
      </c>
    </row>
    <row r="71" spans="1:36" ht="39.75" x14ac:dyDescent="0.25">
      <c r="A71" s="49"/>
      <c r="B71" s="1130" t="s">
        <v>1874</v>
      </c>
      <c r="C71" s="1120" t="s">
        <v>531</v>
      </c>
      <c r="D71" s="1120" t="s">
        <v>40</v>
      </c>
      <c r="E71" s="1120" t="str">
        <f>IF(D69&lt;&gt;"TCVN 5687:2010","Compliant with standard?","Number of occupants")</f>
        <v>Compliant with standard?</v>
      </c>
      <c r="F71" s="1120" t="s">
        <v>1442</v>
      </c>
      <c r="G71" s="1120" t="s">
        <v>2103</v>
      </c>
      <c r="H71" s="1120" t="s">
        <v>2211</v>
      </c>
      <c r="I71" s="1120" t="s">
        <v>2210</v>
      </c>
      <c r="J71" s="1119" t="s">
        <v>172</v>
      </c>
      <c r="K71" s="2030" t="s">
        <v>30</v>
      </c>
      <c r="L71" s="2031"/>
      <c r="M71" s="49"/>
      <c r="P71" s="38" t="s">
        <v>2142</v>
      </c>
    </row>
    <row r="72" spans="1:36" x14ac:dyDescent="0.25">
      <c r="A72" s="49"/>
      <c r="B72" s="1118"/>
      <c r="C72" s="1118" t="s">
        <v>124</v>
      </c>
      <c r="D72" s="382"/>
      <c r="E72" s="1156">
        <v>2</v>
      </c>
      <c r="F72" s="1118" t="s">
        <v>2142</v>
      </c>
      <c r="G72" s="1118" t="s">
        <v>2157</v>
      </c>
      <c r="H72" s="1157">
        <f>IFERROR(IF(VLOOKUP(G72,$T$6:$X$61,3,FALSE)="/",E72*VLOOKUP(G72,$T$6:$X$61,4,FALSE),E72*VLOOKUP(G72,$T$6:$X$61,3,FALSE)),"")</f>
        <v>60</v>
      </c>
      <c r="I72" s="1118">
        <v>75</v>
      </c>
      <c r="J72" s="1155" t="str">
        <f t="shared" ref="J72:J91" si="13">IF(OR(D72="",I72=""),"",IF(I72&gt;=H72,"Yes","No"))</f>
        <v/>
      </c>
      <c r="K72" s="2017"/>
      <c r="L72" s="2018"/>
      <c r="M72" s="49"/>
      <c r="O72" s="38">
        <f>IF(J72="Yes",D72,0)</f>
        <v>0</v>
      </c>
      <c r="P72" s="38" t="s">
        <v>2143</v>
      </c>
      <c r="R72" s="38">
        <f t="shared" ref="R72:R91" si="14">IF($F72=$P$71,1.1,IF($F72=$P$72,2.1,IF($F72=$P$73,3.1,IF($F72=$P$74,4.1,IF($F72=$P$75,5.1,IF($F72=$P$75,6.1,IF($F72=$P$76,7.1,IF($F72=$P$77,8.1,IF($F72=$P$78,8.1,IF($F72=$P$79,9.1,IF($F72=$P$80,10.1,IF($F72=$P$81,11.1,IF($F72=$P$82,12.1)))))))))))))</f>
        <v>1.1000000000000001</v>
      </c>
      <c r="S72" s="38">
        <f t="shared" ref="S72:S91" si="15">IF($F72=$P$71,1.2,IF($F72=$P$72,2.2,IF($F72=$P$73,3.2,IF($F72=$P$74,4.2,IF($F72=$P$75,5.2,IF($F72=$P$75,6.2,IF($F72=$P$76,7.2,IF($F72=$P$77,8.2,IF($F72=$P$78,8.2,IF($F72=$P$79,9.2,IF($F72=$P$80,10.2,IF($F72=$P$81,11.2,IF($F72=$P$82,12.2)))))))))))))</f>
        <v>1.2</v>
      </c>
      <c r="T72" s="38">
        <f t="shared" ref="T72:T91" si="16">IF($F72=$P$71,1.3,IF($F72=$P$72,2.3,IF($F72=$P$73,3.3,IF($F72=$P$74,4.3,IF($F72=$P$75,5.3,IF($F72=$P$75,6.3,IF($F72=$P$76,7.3,IF($F72=$P$77,8.3,IF($F72=$P$78,8.3,IF($F72=$P$79,9.3,IF($F72=$P$80,10.3,IF($F72=$P$81,11.3,IF($F72=$P$82,12.3)))))))))))))</f>
        <v>1.3</v>
      </c>
      <c r="U72" s="38">
        <f t="shared" ref="U72:U91" si="17">IF($F72=$P$71,1.4,IF($F72=$P$72,2.4,IF($F72=$P$73,3.4,IF($F72=$P$74,4.4,IF($F72=$P$75,5.4,IF($F72=$P$75,6.4,IF($F72=$P$76,7.4,IF($F72=$P$77,8.4,IF($F72=$P$78,8.4,IF($F72=$P$79,9.4,IF($F72=$P$80,10.4,IF($F72=$P$81,11.4,IF($F72=$P$82,12.4)))))))))))))</f>
        <v>1.4</v>
      </c>
      <c r="V72" s="38">
        <f t="shared" ref="V72:V91" si="18">IF($F72=$P$71,1.5,IF($F72=$P$72,2.5,IF($F72=$P$73,3.5,IF($F72=$P$74,4.5,IF($F72=$P$75,5.5,IF($F72=$P$75,6.5,IF($F72=$P$76,7.5,IF($F72=$P$77,8.5,IF($F72=$P$78,8.5,IF($F72=$P$79,9.5,IF($F72=$P$80,10.5,IF($F72=$P$81,11.5,IF($F72=$P$82,12.5)))))))))))))</f>
        <v>1.5</v>
      </c>
      <c r="W72" s="38">
        <f t="shared" ref="W72:W91" si="19">IF($F72=$P$71,1.6,IF($F72=$P$72,2.6,IF($F72=$P$73,3.6,IF($F72=$P$74,4.6,IF($F72=$P$75,5.6,IF($F72=$P$75,6.6,IF($F72=$P$76,7.6,IF($F72=$P$77,8.6,IF($F72=$P$78,8.6,IF($F72=$P$79,9.6,IF($F72=$P$80,10.6,IF($F72=$P$81,11.6,IF($F72=$P$82,12.6)))))))))))))</f>
        <v>1.6</v>
      </c>
      <c r="X72" s="38">
        <f t="shared" ref="X72:X91" si="20">IF($F72=$P$71,1.7,IF($F72=$P$72,2.7,IF($F72=$P$73,3.7,IF($F72=$P$74,4.7,IF($F72=$P$75,5.7,IF($F72=$P$75,6.7,IF($F72=$P$76,7.7,IF($F72=$P$77,8.7,IF($F72=$P$78,8.7,IF($F72=$P$79,9.7,IF($F72=$P$80,10.7,IF($F72=$P$81,11.7,IF($F72=$P$82,12.7)))))))))))))</f>
        <v>1.7</v>
      </c>
      <c r="Y72" s="38">
        <f t="shared" ref="Y72:Y91" si="21">IF($F72=$P$71,1.8,IF($F72=$P$72,2.8,IF($F72=$P$73,3.8,IF($F72=$P$74,4.8,IF($F72=$P$75,5.8,IF($F72=$P$75,6.8,IF($F72=$P$76,7.8,IF($F72=$P$77,8.8,IF($F72=$P$78,8.8,IF($F72=$P$79,9.8,IF($F72=$P$80,10.8,IF($F72=$P$81,11.8,IF($F72=$P$82,12.8)))))))))))))</f>
        <v>1.8</v>
      </c>
      <c r="Z72" s="38">
        <f t="shared" ref="Z72:Z91" si="22">IF($F72=$P$71,1.9,IF($F72=$P$72,2.9,IF($F72=$P$73,3.9,IF($F72=$P$74,4.9,IF($F72=$P$75,5.9,IF($F72=$P$75,6.9,IF($F72=$P$76,7.9,IF($F72=$P$77,8.9,IF($F72=$P$78,8.9,IF($F72=$P$79,9.9,IF($F72=$P$80,10.9,IF($F72=$P$81,11.9,IF($F72=$P$82,12.9)))))))))))))</f>
        <v>1.9</v>
      </c>
      <c r="AA72" s="38" t="s">
        <v>124</v>
      </c>
      <c r="AB72" s="38" t="str">
        <f>IFERROR(VLOOKUP(R72,$S$6:$T$61,2,FALSE),"/")</f>
        <v>1.1 Bedroom</v>
      </c>
      <c r="AC72" s="38" t="str">
        <f t="shared" ref="AC72:AJ72" si="23">IFERROR(VLOOKUP(S72,$S$6:$T$61,2,FALSE),"/")</f>
        <v>1.2 Guestroom</v>
      </c>
      <c r="AD72" s="38" t="str">
        <f t="shared" si="23"/>
        <v>1.3 Corridor</v>
      </c>
      <c r="AE72" s="38" t="str">
        <f t="shared" si="23"/>
        <v>1.4 Meeting room</v>
      </c>
      <c r="AF72" s="38" t="str">
        <f t="shared" si="23"/>
        <v>1.5 Conference room</v>
      </c>
      <c r="AG72" s="38" t="str">
        <f t="shared" si="23"/>
        <v>1.6 Office room</v>
      </c>
      <c r="AH72" s="38" t="str">
        <f t="shared" si="23"/>
        <v>1.7 Lobby</v>
      </c>
      <c r="AI72" s="38" t="str">
        <f t="shared" si="23"/>
        <v>1.8 Dormitory</v>
      </c>
      <c r="AJ72" s="38" t="str">
        <f t="shared" si="23"/>
        <v>1.9 Bathroom</v>
      </c>
    </row>
    <row r="73" spans="1:36" x14ac:dyDescent="0.25">
      <c r="A73" s="49"/>
      <c r="B73" s="1116"/>
      <c r="C73" s="1116" t="s">
        <v>124</v>
      </c>
      <c r="D73" s="1121"/>
      <c r="E73" s="459"/>
      <c r="F73" s="1118" t="s">
        <v>124</v>
      </c>
      <c r="G73" s="1118" t="s">
        <v>124</v>
      </c>
      <c r="H73" s="1157" t="str">
        <f t="shared" ref="H73:H91" si="24">IFERROR(IF(VLOOKUP(G73,$T$6:$X$61,3,FALSE)="/",E73*VLOOKUP(G73,$T$6:$X$61,4,FALSE),E73*VLOOKUP(G73,$T$6:$X$61,3,FALSE)),"")</f>
        <v/>
      </c>
      <c r="I73" s="1116">
        <v>50</v>
      </c>
      <c r="J73" s="1155" t="str">
        <f t="shared" si="13"/>
        <v/>
      </c>
      <c r="K73" s="2017"/>
      <c r="L73" s="2018"/>
      <c r="M73" s="49"/>
      <c r="O73" s="38">
        <f t="shared" ref="O73:O91" si="25">IF(J73="Yes",D73,0)</f>
        <v>0</v>
      </c>
      <c r="P73" s="38" t="s">
        <v>2144</v>
      </c>
      <c r="R73" s="38" t="b">
        <f t="shared" si="14"/>
        <v>0</v>
      </c>
      <c r="S73" s="38" t="b">
        <f t="shared" si="15"/>
        <v>0</v>
      </c>
      <c r="T73" s="38" t="b">
        <f t="shared" si="16"/>
        <v>0</v>
      </c>
      <c r="U73" s="38" t="b">
        <f t="shared" si="17"/>
        <v>0</v>
      </c>
      <c r="V73" s="38" t="b">
        <f t="shared" si="18"/>
        <v>0</v>
      </c>
      <c r="W73" s="38" t="b">
        <f t="shared" si="19"/>
        <v>0</v>
      </c>
      <c r="X73" s="38" t="b">
        <f t="shared" si="20"/>
        <v>0</v>
      </c>
      <c r="Y73" s="38" t="b">
        <f t="shared" si="21"/>
        <v>0</v>
      </c>
      <c r="Z73" s="38" t="b">
        <f t="shared" si="22"/>
        <v>0</v>
      </c>
      <c r="AA73" s="38" t="s">
        <v>124</v>
      </c>
      <c r="AB73" s="38" t="str">
        <f>IFERROR(VLOOKUP(R73,$S$6:$T$61,2,FALSE),"/")</f>
        <v>/</v>
      </c>
      <c r="AC73" s="38" t="str">
        <f t="shared" ref="AC73:AC91" si="26">IFERROR(VLOOKUP(S73,$S$6:$T$61,2,FALSE),"/")</f>
        <v>/</v>
      </c>
      <c r="AD73" s="38" t="str">
        <f t="shared" ref="AD73:AD91" si="27">IFERROR(VLOOKUP(T73,$S$6:$T$61,2,FALSE),"/")</f>
        <v>/</v>
      </c>
      <c r="AE73" s="38" t="str">
        <f t="shared" ref="AE73:AE91" si="28">IFERROR(VLOOKUP(U73,$S$6:$T$61,2,FALSE),"/")</f>
        <v>/</v>
      </c>
      <c r="AF73" s="38" t="str">
        <f t="shared" ref="AF73:AF91" si="29">IFERROR(VLOOKUP(V73,$S$6:$T$61,2,FALSE),"/")</f>
        <v>/</v>
      </c>
      <c r="AG73" s="38" t="str">
        <f t="shared" ref="AG73:AG91" si="30">IFERROR(VLOOKUP(W73,$S$6:$T$61,2,FALSE),"/")</f>
        <v>/</v>
      </c>
      <c r="AH73" s="38" t="str">
        <f t="shared" ref="AH73:AH91" si="31">IFERROR(VLOOKUP(X73,$S$6:$T$61,2,FALSE),"/")</f>
        <v>/</v>
      </c>
      <c r="AI73" s="38" t="str">
        <f t="shared" ref="AI73:AI91" si="32">IFERROR(VLOOKUP(Y73,$S$6:$T$61,2,FALSE),"/")</f>
        <v>/</v>
      </c>
      <c r="AJ73" s="38" t="str">
        <f t="shared" ref="AJ73:AJ91" si="33">IFERROR(VLOOKUP(Z73,$S$6:$T$61,2,FALSE),"/")</f>
        <v>/</v>
      </c>
    </row>
    <row r="74" spans="1:36" x14ac:dyDescent="0.25">
      <c r="A74" s="49"/>
      <c r="B74" s="1116"/>
      <c r="C74" s="1116" t="s">
        <v>124</v>
      </c>
      <c r="D74" s="1121"/>
      <c r="E74" s="459"/>
      <c r="F74" s="1118" t="s">
        <v>124</v>
      </c>
      <c r="G74" s="1118" t="s">
        <v>124</v>
      </c>
      <c r="H74" s="1157" t="str">
        <f t="shared" si="24"/>
        <v/>
      </c>
      <c r="I74" s="1116"/>
      <c r="J74" s="1155" t="str">
        <f t="shared" si="13"/>
        <v/>
      </c>
      <c r="K74" s="2017"/>
      <c r="L74" s="2018"/>
      <c r="M74" s="49"/>
      <c r="O74" s="38">
        <f t="shared" si="25"/>
        <v>0</v>
      </c>
      <c r="P74" s="38" t="s">
        <v>2145</v>
      </c>
      <c r="R74" s="38" t="b">
        <f t="shared" si="14"/>
        <v>0</v>
      </c>
      <c r="S74" s="38" t="b">
        <f t="shared" si="15"/>
        <v>0</v>
      </c>
      <c r="T74" s="38" t="b">
        <f t="shared" si="16"/>
        <v>0</v>
      </c>
      <c r="U74" s="38" t="b">
        <f t="shared" si="17"/>
        <v>0</v>
      </c>
      <c r="V74" s="38" t="b">
        <f t="shared" si="18"/>
        <v>0</v>
      </c>
      <c r="W74" s="38" t="b">
        <f t="shared" si="19"/>
        <v>0</v>
      </c>
      <c r="X74" s="38" t="b">
        <f t="shared" si="20"/>
        <v>0</v>
      </c>
      <c r="Y74" s="38" t="b">
        <f t="shared" si="21"/>
        <v>0</v>
      </c>
      <c r="Z74" s="38" t="b">
        <f t="shared" si="22"/>
        <v>0</v>
      </c>
      <c r="AA74" s="38" t="s">
        <v>124</v>
      </c>
      <c r="AB74" s="38" t="str">
        <f t="shared" ref="AB74:AB91" si="34">IFERROR(VLOOKUP(R74,$S$6:$T$61,2,FALSE),"/")</f>
        <v>/</v>
      </c>
      <c r="AC74" s="38" t="str">
        <f t="shared" si="26"/>
        <v>/</v>
      </c>
      <c r="AD74" s="38" t="str">
        <f t="shared" si="27"/>
        <v>/</v>
      </c>
      <c r="AE74" s="38" t="str">
        <f t="shared" si="28"/>
        <v>/</v>
      </c>
      <c r="AF74" s="38" t="str">
        <f t="shared" si="29"/>
        <v>/</v>
      </c>
      <c r="AG74" s="38" t="str">
        <f t="shared" si="30"/>
        <v>/</v>
      </c>
      <c r="AH74" s="38" t="str">
        <f t="shared" si="31"/>
        <v>/</v>
      </c>
      <c r="AI74" s="38" t="str">
        <f t="shared" si="32"/>
        <v>/</v>
      </c>
      <c r="AJ74" s="38" t="str">
        <f t="shared" si="33"/>
        <v>/</v>
      </c>
    </row>
    <row r="75" spans="1:36" x14ac:dyDescent="0.25">
      <c r="A75" s="49"/>
      <c r="B75" s="1116"/>
      <c r="C75" s="1116" t="s">
        <v>124</v>
      </c>
      <c r="D75" s="1121"/>
      <c r="E75" s="459"/>
      <c r="F75" s="1118" t="s">
        <v>124</v>
      </c>
      <c r="G75" s="1118" t="s">
        <v>124</v>
      </c>
      <c r="H75" s="1157" t="str">
        <f t="shared" si="24"/>
        <v/>
      </c>
      <c r="I75" s="1116"/>
      <c r="J75" s="1155" t="str">
        <f t="shared" si="13"/>
        <v/>
      </c>
      <c r="K75" s="2017"/>
      <c r="L75" s="2018"/>
      <c r="M75" s="49"/>
      <c r="O75" s="38">
        <f t="shared" si="25"/>
        <v>0</v>
      </c>
      <c r="P75" s="38" t="s">
        <v>2146</v>
      </c>
      <c r="R75" s="38" t="b">
        <f t="shared" si="14"/>
        <v>0</v>
      </c>
      <c r="S75" s="38" t="b">
        <f t="shared" si="15"/>
        <v>0</v>
      </c>
      <c r="T75" s="38" t="b">
        <f t="shared" si="16"/>
        <v>0</v>
      </c>
      <c r="U75" s="38" t="b">
        <f t="shared" si="17"/>
        <v>0</v>
      </c>
      <c r="V75" s="38" t="b">
        <f t="shared" si="18"/>
        <v>0</v>
      </c>
      <c r="W75" s="38" t="b">
        <f t="shared" si="19"/>
        <v>0</v>
      </c>
      <c r="X75" s="38" t="b">
        <f t="shared" si="20"/>
        <v>0</v>
      </c>
      <c r="Y75" s="38" t="b">
        <f t="shared" si="21"/>
        <v>0</v>
      </c>
      <c r="Z75" s="38" t="b">
        <f t="shared" si="22"/>
        <v>0</v>
      </c>
      <c r="AA75" s="38" t="s">
        <v>124</v>
      </c>
      <c r="AB75" s="38" t="str">
        <f t="shared" si="34"/>
        <v>/</v>
      </c>
      <c r="AC75" s="38" t="str">
        <f t="shared" si="26"/>
        <v>/</v>
      </c>
      <c r="AD75" s="38" t="str">
        <f t="shared" si="27"/>
        <v>/</v>
      </c>
      <c r="AE75" s="38" t="str">
        <f t="shared" si="28"/>
        <v>/</v>
      </c>
      <c r="AF75" s="38" t="str">
        <f t="shared" si="29"/>
        <v>/</v>
      </c>
      <c r="AG75" s="38" t="str">
        <f t="shared" si="30"/>
        <v>/</v>
      </c>
      <c r="AH75" s="38" t="str">
        <f t="shared" si="31"/>
        <v>/</v>
      </c>
      <c r="AI75" s="38" t="str">
        <f t="shared" si="32"/>
        <v>/</v>
      </c>
      <c r="AJ75" s="38" t="str">
        <f t="shared" si="33"/>
        <v>/</v>
      </c>
    </row>
    <row r="76" spans="1:36" x14ac:dyDescent="0.25">
      <c r="A76" s="49"/>
      <c r="B76" s="1116"/>
      <c r="C76" s="1116" t="s">
        <v>124</v>
      </c>
      <c r="D76" s="1121"/>
      <c r="E76" s="459"/>
      <c r="F76" s="1118" t="s">
        <v>124</v>
      </c>
      <c r="G76" s="1118" t="s">
        <v>124</v>
      </c>
      <c r="H76" s="1157" t="str">
        <f t="shared" si="24"/>
        <v/>
      </c>
      <c r="I76" s="1116"/>
      <c r="J76" s="1155" t="str">
        <f t="shared" si="13"/>
        <v/>
      </c>
      <c r="K76" s="2017"/>
      <c r="L76" s="2018"/>
      <c r="M76" s="49"/>
      <c r="O76" s="38">
        <f t="shared" si="25"/>
        <v>0</v>
      </c>
      <c r="P76" s="1142" t="s">
        <v>2147</v>
      </c>
      <c r="Q76" s="1142"/>
      <c r="R76" s="38" t="b">
        <f t="shared" si="14"/>
        <v>0</v>
      </c>
      <c r="S76" s="38" t="b">
        <f t="shared" si="15"/>
        <v>0</v>
      </c>
      <c r="T76" s="38" t="b">
        <f t="shared" si="16"/>
        <v>0</v>
      </c>
      <c r="U76" s="38" t="b">
        <f t="shared" si="17"/>
        <v>0</v>
      </c>
      <c r="V76" s="38" t="b">
        <f t="shared" si="18"/>
        <v>0</v>
      </c>
      <c r="W76" s="38" t="b">
        <f t="shared" si="19"/>
        <v>0</v>
      </c>
      <c r="X76" s="38" t="b">
        <f t="shared" si="20"/>
        <v>0</v>
      </c>
      <c r="Y76" s="38" t="b">
        <f t="shared" si="21"/>
        <v>0</v>
      </c>
      <c r="Z76" s="38" t="b">
        <f t="shared" si="22"/>
        <v>0</v>
      </c>
      <c r="AA76" s="38" t="s">
        <v>124</v>
      </c>
      <c r="AB76" s="38" t="str">
        <f t="shared" si="34"/>
        <v>/</v>
      </c>
      <c r="AC76" s="38" t="str">
        <f t="shared" si="26"/>
        <v>/</v>
      </c>
      <c r="AD76" s="38" t="str">
        <f t="shared" si="27"/>
        <v>/</v>
      </c>
      <c r="AE76" s="38" t="str">
        <f t="shared" si="28"/>
        <v>/</v>
      </c>
      <c r="AF76" s="38" t="str">
        <f t="shared" si="29"/>
        <v>/</v>
      </c>
      <c r="AG76" s="38" t="str">
        <f t="shared" si="30"/>
        <v>/</v>
      </c>
      <c r="AH76" s="38" t="str">
        <f t="shared" si="31"/>
        <v>/</v>
      </c>
      <c r="AI76" s="38" t="str">
        <f t="shared" si="32"/>
        <v>/</v>
      </c>
      <c r="AJ76" s="38" t="str">
        <f t="shared" si="33"/>
        <v>/</v>
      </c>
    </row>
    <row r="77" spans="1:36" x14ac:dyDescent="0.25">
      <c r="A77" s="49"/>
      <c r="B77" s="1116"/>
      <c r="C77" s="1116" t="s">
        <v>124</v>
      </c>
      <c r="D77" s="1121"/>
      <c r="E77" s="459"/>
      <c r="F77" s="1118" t="s">
        <v>124</v>
      </c>
      <c r="G77" s="1118" t="s">
        <v>124</v>
      </c>
      <c r="H77" s="1157" t="str">
        <f t="shared" si="24"/>
        <v/>
      </c>
      <c r="I77" s="1116"/>
      <c r="J77" s="1155" t="str">
        <f t="shared" si="13"/>
        <v/>
      </c>
      <c r="K77" s="2017"/>
      <c r="L77" s="2018"/>
      <c r="M77" s="49"/>
      <c r="O77" s="38">
        <f t="shared" si="25"/>
        <v>0</v>
      </c>
      <c r="P77" s="38" t="s">
        <v>2148</v>
      </c>
      <c r="R77" s="38" t="b">
        <f t="shared" si="14"/>
        <v>0</v>
      </c>
      <c r="S77" s="38" t="b">
        <f t="shared" si="15"/>
        <v>0</v>
      </c>
      <c r="T77" s="38" t="b">
        <f t="shared" si="16"/>
        <v>0</v>
      </c>
      <c r="U77" s="38" t="b">
        <f t="shared" si="17"/>
        <v>0</v>
      </c>
      <c r="V77" s="38" t="b">
        <f t="shared" si="18"/>
        <v>0</v>
      </c>
      <c r="W77" s="38" t="b">
        <f t="shared" si="19"/>
        <v>0</v>
      </c>
      <c r="X77" s="38" t="b">
        <f t="shared" si="20"/>
        <v>0</v>
      </c>
      <c r="Y77" s="38" t="b">
        <f t="shared" si="21"/>
        <v>0</v>
      </c>
      <c r="Z77" s="38" t="b">
        <f t="shared" si="22"/>
        <v>0</v>
      </c>
      <c r="AA77" s="38" t="s">
        <v>124</v>
      </c>
      <c r="AB77" s="38" t="str">
        <f t="shared" si="34"/>
        <v>/</v>
      </c>
      <c r="AC77" s="38" t="str">
        <f t="shared" si="26"/>
        <v>/</v>
      </c>
      <c r="AD77" s="38" t="str">
        <f t="shared" si="27"/>
        <v>/</v>
      </c>
      <c r="AE77" s="38" t="str">
        <f t="shared" si="28"/>
        <v>/</v>
      </c>
      <c r="AF77" s="38" t="str">
        <f t="shared" si="29"/>
        <v>/</v>
      </c>
      <c r="AG77" s="38" t="str">
        <f t="shared" si="30"/>
        <v>/</v>
      </c>
      <c r="AH77" s="38" t="str">
        <f t="shared" si="31"/>
        <v>/</v>
      </c>
      <c r="AI77" s="38" t="str">
        <f t="shared" si="32"/>
        <v>/</v>
      </c>
      <c r="AJ77" s="38" t="str">
        <f t="shared" si="33"/>
        <v>/</v>
      </c>
    </row>
    <row r="78" spans="1:36" x14ac:dyDescent="0.25">
      <c r="A78" s="49"/>
      <c r="B78" s="1116"/>
      <c r="C78" s="1116" t="s">
        <v>124</v>
      </c>
      <c r="D78" s="1121"/>
      <c r="E78" s="459"/>
      <c r="F78" s="1118" t="s">
        <v>124</v>
      </c>
      <c r="G78" s="1118" t="s">
        <v>124</v>
      </c>
      <c r="H78" s="1157" t="str">
        <f t="shared" si="24"/>
        <v/>
      </c>
      <c r="I78" s="1116"/>
      <c r="J78" s="1155" t="str">
        <f t="shared" si="13"/>
        <v/>
      </c>
      <c r="K78" s="2017"/>
      <c r="L78" s="2018"/>
      <c r="M78" s="49"/>
      <c r="O78" s="38">
        <f t="shared" si="25"/>
        <v>0</v>
      </c>
      <c r="P78" s="38" t="s">
        <v>2149</v>
      </c>
      <c r="R78" s="38" t="b">
        <f t="shared" si="14"/>
        <v>0</v>
      </c>
      <c r="S78" s="38" t="b">
        <f t="shared" si="15"/>
        <v>0</v>
      </c>
      <c r="T78" s="38" t="b">
        <f t="shared" si="16"/>
        <v>0</v>
      </c>
      <c r="U78" s="38" t="b">
        <f t="shared" si="17"/>
        <v>0</v>
      </c>
      <c r="V78" s="38" t="b">
        <f t="shared" si="18"/>
        <v>0</v>
      </c>
      <c r="W78" s="38" t="b">
        <f t="shared" si="19"/>
        <v>0</v>
      </c>
      <c r="X78" s="38" t="b">
        <f t="shared" si="20"/>
        <v>0</v>
      </c>
      <c r="Y78" s="38" t="b">
        <f t="shared" si="21"/>
        <v>0</v>
      </c>
      <c r="Z78" s="38" t="b">
        <f t="shared" si="22"/>
        <v>0</v>
      </c>
      <c r="AA78" s="38" t="s">
        <v>124</v>
      </c>
      <c r="AB78" s="38" t="str">
        <f t="shared" si="34"/>
        <v>/</v>
      </c>
      <c r="AC78" s="38" t="str">
        <f t="shared" si="26"/>
        <v>/</v>
      </c>
      <c r="AD78" s="38" t="str">
        <f t="shared" si="27"/>
        <v>/</v>
      </c>
      <c r="AE78" s="38" t="str">
        <f t="shared" si="28"/>
        <v>/</v>
      </c>
      <c r="AF78" s="38" t="str">
        <f t="shared" si="29"/>
        <v>/</v>
      </c>
      <c r="AG78" s="38" t="str">
        <f t="shared" si="30"/>
        <v>/</v>
      </c>
      <c r="AH78" s="38" t="str">
        <f t="shared" si="31"/>
        <v>/</v>
      </c>
      <c r="AI78" s="38" t="str">
        <f t="shared" si="32"/>
        <v>/</v>
      </c>
      <c r="AJ78" s="38" t="str">
        <f t="shared" si="33"/>
        <v>/</v>
      </c>
    </row>
    <row r="79" spans="1:36" x14ac:dyDescent="0.25">
      <c r="A79" s="49"/>
      <c r="B79" s="1116"/>
      <c r="C79" s="1116" t="s">
        <v>124</v>
      </c>
      <c r="D79" s="1121"/>
      <c r="E79" s="459"/>
      <c r="F79" s="1118" t="s">
        <v>124</v>
      </c>
      <c r="G79" s="1118" t="s">
        <v>124</v>
      </c>
      <c r="H79" s="1157" t="str">
        <f t="shared" si="24"/>
        <v/>
      </c>
      <c r="I79" s="1116"/>
      <c r="J79" s="1155" t="str">
        <f t="shared" si="13"/>
        <v/>
      </c>
      <c r="K79" s="2017"/>
      <c r="L79" s="2018"/>
      <c r="M79" s="49"/>
      <c r="O79" s="38">
        <f t="shared" si="25"/>
        <v>0</v>
      </c>
      <c r="P79" s="38" t="s">
        <v>2150</v>
      </c>
      <c r="R79" s="38" t="b">
        <f t="shared" si="14"/>
        <v>0</v>
      </c>
      <c r="S79" s="38" t="b">
        <f t="shared" si="15"/>
        <v>0</v>
      </c>
      <c r="T79" s="38" t="b">
        <f t="shared" si="16"/>
        <v>0</v>
      </c>
      <c r="U79" s="38" t="b">
        <f t="shared" si="17"/>
        <v>0</v>
      </c>
      <c r="V79" s="38" t="b">
        <f t="shared" si="18"/>
        <v>0</v>
      </c>
      <c r="W79" s="38" t="b">
        <f t="shared" si="19"/>
        <v>0</v>
      </c>
      <c r="X79" s="38" t="b">
        <f t="shared" si="20"/>
        <v>0</v>
      </c>
      <c r="Y79" s="38" t="b">
        <f t="shared" si="21"/>
        <v>0</v>
      </c>
      <c r="Z79" s="38" t="b">
        <f t="shared" si="22"/>
        <v>0</v>
      </c>
      <c r="AA79" s="38" t="s">
        <v>124</v>
      </c>
      <c r="AB79" s="38" t="str">
        <f t="shared" si="34"/>
        <v>/</v>
      </c>
      <c r="AC79" s="38" t="str">
        <f t="shared" si="26"/>
        <v>/</v>
      </c>
      <c r="AD79" s="38" t="str">
        <f t="shared" si="27"/>
        <v>/</v>
      </c>
      <c r="AE79" s="38" t="str">
        <f t="shared" si="28"/>
        <v>/</v>
      </c>
      <c r="AF79" s="38" t="str">
        <f t="shared" si="29"/>
        <v>/</v>
      </c>
      <c r="AG79" s="38" t="str">
        <f t="shared" si="30"/>
        <v>/</v>
      </c>
      <c r="AH79" s="38" t="str">
        <f t="shared" si="31"/>
        <v>/</v>
      </c>
      <c r="AI79" s="38" t="str">
        <f t="shared" si="32"/>
        <v>/</v>
      </c>
      <c r="AJ79" s="38" t="str">
        <f t="shared" si="33"/>
        <v>/</v>
      </c>
    </row>
    <row r="80" spans="1:36" x14ac:dyDescent="0.25">
      <c r="A80" s="49"/>
      <c r="B80" s="1116"/>
      <c r="C80" s="1116" t="s">
        <v>124</v>
      </c>
      <c r="D80" s="1121"/>
      <c r="E80" s="459"/>
      <c r="F80" s="1118" t="s">
        <v>124</v>
      </c>
      <c r="G80" s="1118" t="s">
        <v>124</v>
      </c>
      <c r="H80" s="1157" t="str">
        <f t="shared" si="24"/>
        <v/>
      </c>
      <c r="I80" s="1116"/>
      <c r="J80" s="1155" t="str">
        <f t="shared" si="13"/>
        <v/>
      </c>
      <c r="K80" s="2017"/>
      <c r="L80" s="2018"/>
      <c r="M80" s="49"/>
      <c r="O80" s="38">
        <f t="shared" si="25"/>
        <v>0</v>
      </c>
      <c r="P80" s="38" t="s">
        <v>2151</v>
      </c>
      <c r="R80" s="38" t="b">
        <f t="shared" si="14"/>
        <v>0</v>
      </c>
      <c r="S80" s="38" t="b">
        <f t="shared" si="15"/>
        <v>0</v>
      </c>
      <c r="T80" s="38" t="b">
        <f t="shared" si="16"/>
        <v>0</v>
      </c>
      <c r="U80" s="38" t="b">
        <f t="shared" si="17"/>
        <v>0</v>
      </c>
      <c r="V80" s="38" t="b">
        <f t="shared" si="18"/>
        <v>0</v>
      </c>
      <c r="W80" s="38" t="b">
        <f t="shared" si="19"/>
        <v>0</v>
      </c>
      <c r="X80" s="38" t="b">
        <f t="shared" si="20"/>
        <v>0</v>
      </c>
      <c r="Y80" s="38" t="b">
        <f t="shared" si="21"/>
        <v>0</v>
      </c>
      <c r="Z80" s="38" t="b">
        <f t="shared" si="22"/>
        <v>0</v>
      </c>
      <c r="AA80" s="38" t="s">
        <v>124</v>
      </c>
      <c r="AB80" s="38" t="str">
        <f t="shared" si="34"/>
        <v>/</v>
      </c>
      <c r="AC80" s="38" t="str">
        <f t="shared" si="26"/>
        <v>/</v>
      </c>
      <c r="AD80" s="38" t="str">
        <f t="shared" si="27"/>
        <v>/</v>
      </c>
      <c r="AE80" s="38" t="str">
        <f t="shared" si="28"/>
        <v>/</v>
      </c>
      <c r="AF80" s="38" t="str">
        <f t="shared" si="29"/>
        <v>/</v>
      </c>
      <c r="AG80" s="38" t="str">
        <f t="shared" si="30"/>
        <v>/</v>
      </c>
      <c r="AH80" s="38" t="str">
        <f t="shared" si="31"/>
        <v>/</v>
      </c>
      <c r="AI80" s="38" t="str">
        <f t="shared" si="32"/>
        <v>/</v>
      </c>
      <c r="AJ80" s="38" t="str">
        <f t="shared" si="33"/>
        <v>/</v>
      </c>
    </row>
    <row r="81" spans="1:36" x14ac:dyDescent="0.25">
      <c r="A81" s="49"/>
      <c r="B81" s="1116"/>
      <c r="C81" s="1116" t="s">
        <v>124</v>
      </c>
      <c r="D81" s="1121"/>
      <c r="E81" s="459"/>
      <c r="F81" s="1139" t="s">
        <v>124</v>
      </c>
      <c r="G81" s="1118" t="s">
        <v>124</v>
      </c>
      <c r="H81" s="1157" t="str">
        <f t="shared" si="24"/>
        <v/>
      </c>
      <c r="I81" s="1116"/>
      <c r="J81" s="1155" t="str">
        <f t="shared" si="13"/>
        <v/>
      </c>
      <c r="K81" s="2017"/>
      <c r="L81" s="2018"/>
      <c r="M81" s="49"/>
      <c r="O81" s="38">
        <f t="shared" si="25"/>
        <v>0</v>
      </c>
      <c r="P81" s="38" t="s">
        <v>2152</v>
      </c>
      <c r="R81" s="38" t="b">
        <f t="shared" si="14"/>
        <v>0</v>
      </c>
      <c r="S81" s="38" t="b">
        <f t="shared" si="15"/>
        <v>0</v>
      </c>
      <c r="T81" s="38" t="b">
        <f t="shared" si="16"/>
        <v>0</v>
      </c>
      <c r="U81" s="38" t="b">
        <f t="shared" si="17"/>
        <v>0</v>
      </c>
      <c r="V81" s="38" t="b">
        <f t="shared" si="18"/>
        <v>0</v>
      </c>
      <c r="W81" s="38" t="b">
        <f t="shared" si="19"/>
        <v>0</v>
      </c>
      <c r="X81" s="38" t="b">
        <f t="shared" si="20"/>
        <v>0</v>
      </c>
      <c r="Y81" s="38" t="b">
        <f t="shared" si="21"/>
        <v>0</v>
      </c>
      <c r="Z81" s="38" t="b">
        <f t="shared" si="22"/>
        <v>0</v>
      </c>
      <c r="AA81" s="38" t="s">
        <v>124</v>
      </c>
      <c r="AB81" s="38" t="str">
        <f t="shared" si="34"/>
        <v>/</v>
      </c>
      <c r="AC81" s="38" t="str">
        <f t="shared" si="26"/>
        <v>/</v>
      </c>
      <c r="AD81" s="38" t="str">
        <f t="shared" si="27"/>
        <v>/</v>
      </c>
      <c r="AE81" s="38" t="str">
        <f t="shared" si="28"/>
        <v>/</v>
      </c>
      <c r="AF81" s="38" t="str">
        <f t="shared" si="29"/>
        <v>/</v>
      </c>
      <c r="AG81" s="38" t="str">
        <f t="shared" si="30"/>
        <v>/</v>
      </c>
      <c r="AH81" s="38" t="str">
        <f t="shared" si="31"/>
        <v>/</v>
      </c>
      <c r="AI81" s="38" t="str">
        <f t="shared" si="32"/>
        <v>/</v>
      </c>
      <c r="AJ81" s="38" t="str">
        <f t="shared" si="33"/>
        <v>/</v>
      </c>
    </row>
    <row r="82" spans="1:36" x14ac:dyDescent="0.25">
      <c r="A82" s="49"/>
      <c r="B82" s="1116"/>
      <c r="C82" s="1116" t="s">
        <v>124</v>
      </c>
      <c r="D82" s="1121"/>
      <c r="E82" s="459"/>
      <c r="F82" s="1118" t="s">
        <v>124</v>
      </c>
      <c r="G82" s="1118" t="s">
        <v>124</v>
      </c>
      <c r="H82" s="1157" t="str">
        <f t="shared" si="24"/>
        <v/>
      </c>
      <c r="I82" s="1116"/>
      <c r="J82" s="1155" t="str">
        <f t="shared" si="13"/>
        <v/>
      </c>
      <c r="K82" s="2017"/>
      <c r="L82" s="2018"/>
      <c r="M82" s="49"/>
      <c r="O82" s="38">
        <f t="shared" si="25"/>
        <v>0</v>
      </c>
      <c r="P82" s="38" t="s">
        <v>2153</v>
      </c>
      <c r="R82" s="38" t="b">
        <f t="shared" si="14"/>
        <v>0</v>
      </c>
      <c r="S82" s="38" t="b">
        <f t="shared" si="15"/>
        <v>0</v>
      </c>
      <c r="T82" s="38" t="b">
        <f t="shared" si="16"/>
        <v>0</v>
      </c>
      <c r="U82" s="38" t="b">
        <f t="shared" si="17"/>
        <v>0</v>
      </c>
      <c r="V82" s="38" t="b">
        <f t="shared" si="18"/>
        <v>0</v>
      </c>
      <c r="W82" s="38" t="b">
        <f t="shared" si="19"/>
        <v>0</v>
      </c>
      <c r="X82" s="38" t="b">
        <f t="shared" si="20"/>
        <v>0</v>
      </c>
      <c r="Y82" s="38" t="b">
        <f t="shared" si="21"/>
        <v>0</v>
      </c>
      <c r="Z82" s="38" t="b">
        <f t="shared" si="22"/>
        <v>0</v>
      </c>
      <c r="AA82" s="38" t="s">
        <v>124</v>
      </c>
      <c r="AB82" s="38" t="str">
        <f t="shared" si="34"/>
        <v>/</v>
      </c>
      <c r="AC82" s="38" t="str">
        <f t="shared" si="26"/>
        <v>/</v>
      </c>
      <c r="AD82" s="38" t="str">
        <f t="shared" si="27"/>
        <v>/</v>
      </c>
      <c r="AE82" s="38" t="str">
        <f t="shared" si="28"/>
        <v>/</v>
      </c>
      <c r="AF82" s="38" t="str">
        <f t="shared" si="29"/>
        <v>/</v>
      </c>
      <c r="AG82" s="38" t="str">
        <f t="shared" si="30"/>
        <v>/</v>
      </c>
      <c r="AH82" s="38" t="str">
        <f t="shared" si="31"/>
        <v>/</v>
      </c>
      <c r="AI82" s="38" t="str">
        <f t="shared" si="32"/>
        <v>/</v>
      </c>
      <c r="AJ82" s="38" t="str">
        <f t="shared" si="33"/>
        <v>/</v>
      </c>
    </row>
    <row r="83" spans="1:36" x14ac:dyDescent="0.25">
      <c r="A83" s="49"/>
      <c r="B83" s="1116"/>
      <c r="C83" s="1116" t="s">
        <v>124</v>
      </c>
      <c r="D83" s="1121"/>
      <c r="E83" s="459"/>
      <c r="F83" s="1118" t="s">
        <v>124</v>
      </c>
      <c r="G83" s="1118" t="s">
        <v>124</v>
      </c>
      <c r="H83" s="1157" t="str">
        <f t="shared" si="24"/>
        <v/>
      </c>
      <c r="I83" s="1116"/>
      <c r="J83" s="1155" t="str">
        <f t="shared" si="13"/>
        <v/>
      </c>
      <c r="K83" s="2017"/>
      <c r="L83" s="2018"/>
      <c r="M83" s="49"/>
      <c r="O83" s="38">
        <f t="shared" si="25"/>
        <v>0</v>
      </c>
      <c r="R83" s="38" t="b">
        <f t="shared" si="14"/>
        <v>0</v>
      </c>
      <c r="S83" s="38" t="b">
        <f t="shared" si="15"/>
        <v>0</v>
      </c>
      <c r="T83" s="38" t="b">
        <f t="shared" si="16"/>
        <v>0</v>
      </c>
      <c r="U83" s="38" t="b">
        <f t="shared" si="17"/>
        <v>0</v>
      </c>
      <c r="V83" s="38" t="b">
        <f t="shared" si="18"/>
        <v>0</v>
      </c>
      <c r="W83" s="38" t="b">
        <f t="shared" si="19"/>
        <v>0</v>
      </c>
      <c r="X83" s="38" t="b">
        <f t="shared" si="20"/>
        <v>0</v>
      </c>
      <c r="Y83" s="38" t="b">
        <f t="shared" si="21"/>
        <v>0</v>
      </c>
      <c r="Z83" s="38" t="b">
        <f t="shared" si="22"/>
        <v>0</v>
      </c>
      <c r="AA83" s="38" t="s">
        <v>124</v>
      </c>
      <c r="AB83" s="38" t="str">
        <f t="shared" si="34"/>
        <v>/</v>
      </c>
      <c r="AC83" s="38" t="str">
        <f t="shared" si="26"/>
        <v>/</v>
      </c>
      <c r="AD83" s="38" t="str">
        <f t="shared" si="27"/>
        <v>/</v>
      </c>
      <c r="AE83" s="38" t="str">
        <f t="shared" si="28"/>
        <v>/</v>
      </c>
      <c r="AF83" s="38" t="str">
        <f t="shared" si="29"/>
        <v>/</v>
      </c>
      <c r="AG83" s="38" t="str">
        <f t="shared" si="30"/>
        <v>/</v>
      </c>
      <c r="AH83" s="38" t="str">
        <f t="shared" si="31"/>
        <v>/</v>
      </c>
      <c r="AI83" s="38" t="str">
        <f t="shared" si="32"/>
        <v>/</v>
      </c>
      <c r="AJ83" s="38" t="str">
        <f t="shared" si="33"/>
        <v>/</v>
      </c>
    </row>
    <row r="84" spans="1:36" x14ac:dyDescent="0.25">
      <c r="A84" s="49"/>
      <c r="B84" s="1116"/>
      <c r="C84" s="1116" t="s">
        <v>124</v>
      </c>
      <c r="D84" s="1121"/>
      <c r="E84" s="459"/>
      <c r="F84" s="1118" t="s">
        <v>124</v>
      </c>
      <c r="G84" s="1118" t="s">
        <v>124</v>
      </c>
      <c r="H84" s="1157" t="str">
        <f t="shared" si="24"/>
        <v/>
      </c>
      <c r="I84" s="1116"/>
      <c r="J84" s="1155" t="str">
        <f t="shared" si="13"/>
        <v/>
      </c>
      <c r="K84" s="2017"/>
      <c r="L84" s="2018"/>
      <c r="M84" s="49"/>
      <c r="O84" s="38">
        <f t="shared" si="25"/>
        <v>0</v>
      </c>
      <c r="R84" s="38" t="b">
        <f t="shared" si="14"/>
        <v>0</v>
      </c>
      <c r="S84" s="38" t="b">
        <f t="shared" si="15"/>
        <v>0</v>
      </c>
      <c r="T84" s="38" t="b">
        <f t="shared" si="16"/>
        <v>0</v>
      </c>
      <c r="U84" s="38" t="b">
        <f t="shared" si="17"/>
        <v>0</v>
      </c>
      <c r="V84" s="38" t="b">
        <f t="shared" si="18"/>
        <v>0</v>
      </c>
      <c r="W84" s="38" t="b">
        <f t="shared" si="19"/>
        <v>0</v>
      </c>
      <c r="X84" s="38" t="b">
        <f t="shared" si="20"/>
        <v>0</v>
      </c>
      <c r="Y84" s="38" t="b">
        <f t="shared" si="21"/>
        <v>0</v>
      </c>
      <c r="Z84" s="38" t="b">
        <f t="shared" si="22"/>
        <v>0</v>
      </c>
      <c r="AA84" s="38" t="s">
        <v>124</v>
      </c>
      <c r="AB84" s="38" t="str">
        <f t="shared" si="34"/>
        <v>/</v>
      </c>
      <c r="AC84" s="38" t="str">
        <f t="shared" si="26"/>
        <v>/</v>
      </c>
      <c r="AD84" s="38" t="str">
        <f t="shared" si="27"/>
        <v>/</v>
      </c>
      <c r="AE84" s="38" t="str">
        <f t="shared" si="28"/>
        <v>/</v>
      </c>
      <c r="AF84" s="38" t="str">
        <f t="shared" si="29"/>
        <v>/</v>
      </c>
      <c r="AG84" s="38" t="str">
        <f t="shared" si="30"/>
        <v>/</v>
      </c>
      <c r="AH84" s="38" t="str">
        <f t="shared" si="31"/>
        <v>/</v>
      </c>
      <c r="AI84" s="38" t="str">
        <f t="shared" si="32"/>
        <v>/</v>
      </c>
      <c r="AJ84" s="38" t="str">
        <f t="shared" si="33"/>
        <v>/</v>
      </c>
    </row>
    <row r="85" spans="1:36" x14ac:dyDescent="0.25">
      <c r="A85" s="49"/>
      <c r="B85" s="1138"/>
      <c r="C85" s="1138" t="s">
        <v>124</v>
      </c>
      <c r="D85" s="1140"/>
      <c r="E85" s="459"/>
      <c r="F85" s="1139" t="s">
        <v>124</v>
      </c>
      <c r="G85" s="1139" t="s">
        <v>124</v>
      </c>
      <c r="H85" s="1157" t="str">
        <f t="shared" ref="H85:H89" si="35">IFERROR(IF(VLOOKUP(G85,$T$6:$X$61,3,FALSE)="/",E85*VLOOKUP(G85,$T$6:$X$61,4,FALSE),E85*VLOOKUP(G85,$T$6:$X$61,3,FALSE)),"")</f>
        <v/>
      </c>
      <c r="I85" s="1138"/>
      <c r="J85" s="1155" t="str">
        <f t="shared" ref="J85:J89" si="36">IF(OR(D85="",I85=""),"",IF(I85&gt;=H85,"Yes","No"))</f>
        <v/>
      </c>
      <c r="K85" s="2017"/>
      <c r="L85" s="2018"/>
      <c r="M85" s="49"/>
      <c r="O85" s="38">
        <f t="shared" ref="O85:O89" si="37">IF(J85="Yes",D85,0)</f>
        <v>0</v>
      </c>
      <c r="R85" s="38" t="b">
        <f t="shared" si="14"/>
        <v>0</v>
      </c>
      <c r="S85" s="38" t="b">
        <f t="shared" si="15"/>
        <v>0</v>
      </c>
      <c r="T85" s="38" t="b">
        <f t="shared" si="16"/>
        <v>0</v>
      </c>
      <c r="U85" s="38" t="b">
        <f t="shared" si="17"/>
        <v>0</v>
      </c>
      <c r="V85" s="38" t="b">
        <f t="shared" si="18"/>
        <v>0</v>
      </c>
      <c r="W85" s="38" t="b">
        <f t="shared" si="19"/>
        <v>0</v>
      </c>
      <c r="X85" s="38" t="b">
        <f t="shared" si="20"/>
        <v>0</v>
      </c>
      <c r="Y85" s="38" t="b">
        <f t="shared" si="21"/>
        <v>0</v>
      </c>
      <c r="Z85" s="38" t="b">
        <f t="shared" si="22"/>
        <v>0</v>
      </c>
      <c r="AA85" s="38" t="s">
        <v>124</v>
      </c>
      <c r="AB85" s="38" t="str">
        <f t="shared" ref="AB85:AB89" si="38">IFERROR(VLOOKUP(R85,$S$6:$T$61,2,FALSE),"/")</f>
        <v>/</v>
      </c>
      <c r="AC85" s="38" t="str">
        <f t="shared" ref="AC85:AC89" si="39">IFERROR(VLOOKUP(S85,$S$6:$T$61,2,FALSE),"/")</f>
        <v>/</v>
      </c>
      <c r="AD85" s="38" t="str">
        <f t="shared" ref="AD85:AD89" si="40">IFERROR(VLOOKUP(T85,$S$6:$T$61,2,FALSE),"/")</f>
        <v>/</v>
      </c>
      <c r="AE85" s="38" t="str">
        <f t="shared" ref="AE85:AE89" si="41">IFERROR(VLOOKUP(U85,$S$6:$T$61,2,FALSE),"/")</f>
        <v>/</v>
      </c>
      <c r="AF85" s="38" t="str">
        <f t="shared" ref="AF85:AF89" si="42">IFERROR(VLOOKUP(V85,$S$6:$T$61,2,FALSE),"/")</f>
        <v>/</v>
      </c>
      <c r="AG85" s="38" t="str">
        <f t="shared" ref="AG85:AG89" si="43">IFERROR(VLOOKUP(W85,$S$6:$T$61,2,FALSE),"/")</f>
        <v>/</v>
      </c>
      <c r="AH85" s="38" t="str">
        <f t="shared" ref="AH85:AH89" si="44">IFERROR(VLOOKUP(X85,$S$6:$T$61,2,FALSE),"/")</f>
        <v>/</v>
      </c>
      <c r="AI85" s="38" t="str">
        <f t="shared" ref="AI85:AI89" si="45">IFERROR(VLOOKUP(Y85,$S$6:$T$61,2,FALSE),"/")</f>
        <v>/</v>
      </c>
      <c r="AJ85" s="38" t="str">
        <f t="shared" ref="AJ85:AJ89" si="46">IFERROR(VLOOKUP(Z85,$S$6:$T$61,2,FALSE),"/")</f>
        <v>/</v>
      </c>
    </row>
    <row r="86" spans="1:36" x14ac:dyDescent="0.25">
      <c r="A86" s="49"/>
      <c r="B86" s="1138"/>
      <c r="C86" s="1138" t="s">
        <v>124</v>
      </c>
      <c r="D86" s="1140"/>
      <c r="E86" s="459"/>
      <c r="F86" s="1139" t="s">
        <v>124</v>
      </c>
      <c r="G86" s="1139" t="s">
        <v>124</v>
      </c>
      <c r="H86" s="1157" t="str">
        <f t="shared" si="35"/>
        <v/>
      </c>
      <c r="I86" s="1138"/>
      <c r="J86" s="1155" t="str">
        <f t="shared" si="36"/>
        <v/>
      </c>
      <c r="K86" s="2017"/>
      <c r="L86" s="2018"/>
      <c r="M86" s="49"/>
      <c r="O86" s="38">
        <f t="shared" si="37"/>
        <v>0</v>
      </c>
      <c r="R86" s="38" t="b">
        <f t="shared" si="14"/>
        <v>0</v>
      </c>
      <c r="S86" s="38" t="b">
        <f t="shared" si="15"/>
        <v>0</v>
      </c>
      <c r="T86" s="38" t="b">
        <f t="shared" si="16"/>
        <v>0</v>
      </c>
      <c r="U86" s="38" t="b">
        <f t="shared" si="17"/>
        <v>0</v>
      </c>
      <c r="V86" s="38" t="b">
        <f t="shared" si="18"/>
        <v>0</v>
      </c>
      <c r="W86" s="38" t="b">
        <f t="shared" si="19"/>
        <v>0</v>
      </c>
      <c r="X86" s="38" t="b">
        <f t="shared" si="20"/>
        <v>0</v>
      </c>
      <c r="Y86" s="38" t="b">
        <f t="shared" si="21"/>
        <v>0</v>
      </c>
      <c r="Z86" s="38" t="b">
        <f t="shared" si="22"/>
        <v>0</v>
      </c>
      <c r="AA86" s="38" t="s">
        <v>124</v>
      </c>
      <c r="AB86" s="38" t="str">
        <f t="shared" si="38"/>
        <v>/</v>
      </c>
      <c r="AC86" s="38" t="str">
        <f t="shared" si="39"/>
        <v>/</v>
      </c>
      <c r="AD86" s="38" t="str">
        <f t="shared" si="40"/>
        <v>/</v>
      </c>
      <c r="AE86" s="38" t="str">
        <f t="shared" si="41"/>
        <v>/</v>
      </c>
      <c r="AF86" s="38" t="str">
        <f t="shared" si="42"/>
        <v>/</v>
      </c>
      <c r="AG86" s="38" t="str">
        <f t="shared" si="43"/>
        <v>/</v>
      </c>
      <c r="AH86" s="38" t="str">
        <f t="shared" si="44"/>
        <v>/</v>
      </c>
      <c r="AI86" s="38" t="str">
        <f t="shared" si="45"/>
        <v>/</v>
      </c>
      <c r="AJ86" s="38" t="str">
        <f t="shared" si="46"/>
        <v>/</v>
      </c>
    </row>
    <row r="87" spans="1:36" x14ac:dyDescent="0.25">
      <c r="A87" s="49"/>
      <c r="B87" s="1138"/>
      <c r="C87" s="1138" t="s">
        <v>124</v>
      </c>
      <c r="D87" s="1140"/>
      <c r="E87" s="459"/>
      <c r="F87" s="1139" t="s">
        <v>124</v>
      </c>
      <c r="G87" s="1139" t="s">
        <v>124</v>
      </c>
      <c r="H87" s="1157" t="str">
        <f t="shared" si="35"/>
        <v/>
      </c>
      <c r="I87" s="1138"/>
      <c r="J87" s="1155" t="str">
        <f t="shared" si="36"/>
        <v/>
      </c>
      <c r="K87" s="2017"/>
      <c r="L87" s="2018"/>
      <c r="M87" s="49"/>
      <c r="O87" s="38">
        <f t="shared" si="37"/>
        <v>0</v>
      </c>
      <c r="R87" s="38" t="b">
        <f t="shared" si="14"/>
        <v>0</v>
      </c>
      <c r="S87" s="38" t="b">
        <f t="shared" si="15"/>
        <v>0</v>
      </c>
      <c r="T87" s="38" t="b">
        <f t="shared" si="16"/>
        <v>0</v>
      </c>
      <c r="U87" s="38" t="b">
        <f t="shared" si="17"/>
        <v>0</v>
      </c>
      <c r="V87" s="38" t="b">
        <f t="shared" si="18"/>
        <v>0</v>
      </c>
      <c r="W87" s="38" t="b">
        <f t="shared" si="19"/>
        <v>0</v>
      </c>
      <c r="X87" s="38" t="b">
        <f t="shared" si="20"/>
        <v>0</v>
      </c>
      <c r="Y87" s="38" t="b">
        <f t="shared" si="21"/>
        <v>0</v>
      </c>
      <c r="Z87" s="38" t="b">
        <f t="shared" si="22"/>
        <v>0</v>
      </c>
      <c r="AA87" s="38" t="s">
        <v>124</v>
      </c>
      <c r="AB87" s="38" t="str">
        <f t="shared" si="38"/>
        <v>/</v>
      </c>
      <c r="AC87" s="38" t="str">
        <f t="shared" si="39"/>
        <v>/</v>
      </c>
      <c r="AD87" s="38" t="str">
        <f t="shared" si="40"/>
        <v>/</v>
      </c>
      <c r="AE87" s="38" t="str">
        <f t="shared" si="41"/>
        <v>/</v>
      </c>
      <c r="AF87" s="38" t="str">
        <f t="shared" si="42"/>
        <v>/</v>
      </c>
      <c r="AG87" s="38" t="str">
        <f t="shared" si="43"/>
        <v>/</v>
      </c>
      <c r="AH87" s="38" t="str">
        <f t="shared" si="44"/>
        <v>/</v>
      </c>
      <c r="AI87" s="38" t="str">
        <f t="shared" si="45"/>
        <v>/</v>
      </c>
      <c r="AJ87" s="38" t="str">
        <f t="shared" si="46"/>
        <v>/</v>
      </c>
    </row>
    <row r="88" spans="1:36" x14ac:dyDescent="0.25">
      <c r="A88" s="49"/>
      <c r="B88" s="1138"/>
      <c r="C88" s="1138" t="s">
        <v>124</v>
      </c>
      <c r="D88" s="1140"/>
      <c r="E88" s="459"/>
      <c r="F88" s="1139" t="s">
        <v>124</v>
      </c>
      <c r="G88" s="1139" t="s">
        <v>124</v>
      </c>
      <c r="H88" s="1157" t="str">
        <f t="shared" si="35"/>
        <v/>
      </c>
      <c r="I88" s="1138"/>
      <c r="J88" s="1155" t="str">
        <f t="shared" si="36"/>
        <v/>
      </c>
      <c r="K88" s="2017"/>
      <c r="L88" s="2018"/>
      <c r="M88" s="49"/>
      <c r="O88" s="38">
        <f t="shared" si="37"/>
        <v>0</v>
      </c>
      <c r="R88" s="38" t="b">
        <f t="shared" si="14"/>
        <v>0</v>
      </c>
      <c r="S88" s="38" t="b">
        <f t="shared" si="15"/>
        <v>0</v>
      </c>
      <c r="T88" s="38" t="b">
        <f t="shared" si="16"/>
        <v>0</v>
      </c>
      <c r="U88" s="38" t="b">
        <f t="shared" si="17"/>
        <v>0</v>
      </c>
      <c r="V88" s="38" t="b">
        <f t="shared" si="18"/>
        <v>0</v>
      </c>
      <c r="W88" s="38" t="b">
        <f t="shared" si="19"/>
        <v>0</v>
      </c>
      <c r="X88" s="38" t="b">
        <f t="shared" si="20"/>
        <v>0</v>
      </c>
      <c r="Y88" s="38" t="b">
        <f t="shared" si="21"/>
        <v>0</v>
      </c>
      <c r="Z88" s="38" t="b">
        <f t="shared" si="22"/>
        <v>0</v>
      </c>
      <c r="AA88" s="38" t="s">
        <v>124</v>
      </c>
      <c r="AB88" s="38" t="str">
        <f t="shared" si="38"/>
        <v>/</v>
      </c>
      <c r="AC88" s="38" t="str">
        <f t="shared" si="39"/>
        <v>/</v>
      </c>
      <c r="AD88" s="38" t="str">
        <f t="shared" si="40"/>
        <v>/</v>
      </c>
      <c r="AE88" s="38" t="str">
        <f t="shared" si="41"/>
        <v>/</v>
      </c>
      <c r="AF88" s="38" t="str">
        <f t="shared" si="42"/>
        <v>/</v>
      </c>
      <c r="AG88" s="38" t="str">
        <f t="shared" si="43"/>
        <v>/</v>
      </c>
      <c r="AH88" s="38" t="str">
        <f t="shared" si="44"/>
        <v>/</v>
      </c>
      <c r="AI88" s="38" t="str">
        <f t="shared" si="45"/>
        <v>/</v>
      </c>
      <c r="AJ88" s="38" t="str">
        <f t="shared" si="46"/>
        <v>/</v>
      </c>
    </row>
    <row r="89" spans="1:36" x14ac:dyDescent="0.25">
      <c r="A89" s="49"/>
      <c r="B89" s="1138"/>
      <c r="C89" s="1138" t="s">
        <v>124</v>
      </c>
      <c r="D89" s="1140"/>
      <c r="E89" s="459"/>
      <c r="F89" s="1139" t="s">
        <v>124</v>
      </c>
      <c r="G89" s="1139" t="s">
        <v>124</v>
      </c>
      <c r="H89" s="1157" t="str">
        <f t="shared" si="35"/>
        <v/>
      </c>
      <c r="I89" s="1138"/>
      <c r="J89" s="1155" t="str">
        <f t="shared" si="36"/>
        <v/>
      </c>
      <c r="K89" s="2017"/>
      <c r="L89" s="2018"/>
      <c r="M89" s="49"/>
      <c r="O89" s="38">
        <f t="shared" si="37"/>
        <v>0</v>
      </c>
      <c r="R89" s="38" t="b">
        <f t="shared" si="14"/>
        <v>0</v>
      </c>
      <c r="S89" s="38" t="b">
        <f t="shared" si="15"/>
        <v>0</v>
      </c>
      <c r="T89" s="38" t="b">
        <f t="shared" si="16"/>
        <v>0</v>
      </c>
      <c r="U89" s="38" t="b">
        <f t="shared" si="17"/>
        <v>0</v>
      </c>
      <c r="V89" s="38" t="b">
        <f t="shared" si="18"/>
        <v>0</v>
      </c>
      <c r="W89" s="38" t="b">
        <f t="shared" si="19"/>
        <v>0</v>
      </c>
      <c r="X89" s="38" t="b">
        <f t="shared" si="20"/>
        <v>0</v>
      </c>
      <c r="Y89" s="38" t="b">
        <f t="shared" si="21"/>
        <v>0</v>
      </c>
      <c r="Z89" s="38" t="b">
        <f t="shared" si="22"/>
        <v>0</v>
      </c>
      <c r="AA89" s="38" t="s">
        <v>124</v>
      </c>
      <c r="AB89" s="38" t="str">
        <f t="shared" si="38"/>
        <v>/</v>
      </c>
      <c r="AC89" s="38" t="str">
        <f t="shared" si="39"/>
        <v>/</v>
      </c>
      <c r="AD89" s="38" t="str">
        <f t="shared" si="40"/>
        <v>/</v>
      </c>
      <c r="AE89" s="38" t="str">
        <f t="shared" si="41"/>
        <v>/</v>
      </c>
      <c r="AF89" s="38" t="str">
        <f t="shared" si="42"/>
        <v>/</v>
      </c>
      <c r="AG89" s="38" t="str">
        <f t="shared" si="43"/>
        <v>/</v>
      </c>
      <c r="AH89" s="38" t="str">
        <f t="shared" si="44"/>
        <v>/</v>
      </c>
      <c r="AI89" s="38" t="str">
        <f t="shared" si="45"/>
        <v>/</v>
      </c>
      <c r="AJ89" s="38" t="str">
        <f t="shared" si="46"/>
        <v>/</v>
      </c>
    </row>
    <row r="90" spans="1:36" x14ac:dyDescent="0.25">
      <c r="A90" s="49"/>
      <c r="B90" s="1116"/>
      <c r="C90" s="1116" t="s">
        <v>124</v>
      </c>
      <c r="D90" s="1121"/>
      <c r="E90" s="459"/>
      <c r="F90" s="1118" t="s">
        <v>124</v>
      </c>
      <c r="G90" s="1118" t="s">
        <v>124</v>
      </c>
      <c r="H90" s="1157" t="str">
        <f t="shared" si="24"/>
        <v/>
      </c>
      <c r="I90" s="1116"/>
      <c r="J90" s="1155" t="str">
        <f t="shared" si="13"/>
        <v/>
      </c>
      <c r="K90" s="2017"/>
      <c r="L90" s="2018"/>
      <c r="M90" s="49"/>
      <c r="O90" s="38">
        <f t="shared" si="25"/>
        <v>0</v>
      </c>
      <c r="R90" s="38" t="b">
        <f t="shared" si="14"/>
        <v>0</v>
      </c>
      <c r="S90" s="38" t="b">
        <f t="shared" si="15"/>
        <v>0</v>
      </c>
      <c r="T90" s="38" t="b">
        <f t="shared" si="16"/>
        <v>0</v>
      </c>
      <c r="U90" s="38" t="b">
        <f t="shared" si="17"/>
        <v>0</v>
      </c>
      <c r="V90" s="38" t="b">
        <f t="shared" si="18"/>
        <v>0</v>
      </c>
      <c r="W90" s="38" t="b">
        <f t="shared" si="19"/>
        <v>0</v>
      </c>
      <c r="X90" s="38" t="b">
        <f t="shared" si="20"/>
        <v>0</v>
      </c>
      <c r="Y90" s="38" t="b">
        <f t="shared" si="21"/>
        <v>0</v>
      </c>
      <c r="Z90" s="38" t="b">
        <f t="shared" si="22"/>
        <v>0</v>
      </c>
      <c r="AA90" s="38" t="s">
        <v>124</v>
      </c>
      <c r="AB90" s="38" t="str">
        <f t="shared" si="34"/>
        <v>/</v>
      </c>
      <c r="AC90" s="38" t="str">
        <f t="shared" si="26"/>
        <v>/</v>
      </c>
      <c r="AD90" s="38" t="str">
        <f t="shared" si="27"/>
        <v>/</v>
      </c>
      <c r="AE90" s="38" t="str">
        <f t="shared" si="28"/>
        <v>/</v>
      </c>
      <c r="AF90" s="38" t="str">
        <f t="shared" si="29"/>
        <v>/</v>
      </c>
      <c r="AG90" s="38" t="str">
        <f t="shared" si="30"/>
        <v>/</v>
      </c>
      <c r="AH90" s="38" t="str">
        <f t="shared" si="31"/>
        <v>/</v>
      </c>
      <c r="AI90" s="38" t="str">
        <f t="shared" si="32"/>
        <v>/</v>
      </c>
      <c r="AJ90" s="38" t="str">
        <f t="shared" si="33"/>
        <v>/</v>
      </c>
    </row>
    <row r="91" spans="1:36" x14ac:dyDescent="0.25">
      <c r="A91" s="49"/>
      <c r="B91" s="1116"/>
      <c r="C91" s="1116" t="s">
        <v>124</v>
      </c>
      <c r="D91" s="1121"/>
      <c r="E91" s="459"/>
      <c r="F91" s="1118" t="s">
        <v>124</v>
      </c>
      <c r="G91" s="1118" t="s">
        <v>124</v>
      </c>
      <c r="H91" s="1157" t="str">
        <f t="shared" si="24"/>
        <v/>
      </c>
      <c r="I91" s="1116"/>
      <c r="J91" s="1155" t="str">
        <f t="shared" si="13"/>
        <v/>
      </c>
      <c r="K91" s="2017"/>
      <c r="L91" s="2018"/>
      <c r="M91" s="49"/>
      <c r="O91" s="38">
        <f t="shared" si="25"/>
        <v>0</v>
      </c>
      <c r="R91" s="38" t="b">
        <f t="shared" si="14"/>
        <v>0</v>
      </c>
      <c r="S91" s="38" t="b">
        <f t="shared" si="15"/>
        <v>0</v>
      </c>
      <c r="T91" s="38" t="b">
        <f t="shared" si="16"/>
        <v>0</v>
      </c>
      <c r="U91" s="38" t="b">
        <f t="shared" si="17"/>
        <v>0</v>
      </c>
      <c r="V91" s="38" t="b">
        <f t="shared" si="18"/>
        <v>0</v>
      </c>
      <c r="W91" s="38" t="b">
        <f t="shared" si="19"/>
        <v>0</v>
      </c>
      <c r="X91" s="38" t="b">
        <f t="shared" si="20"/>
        <v>0</v>
      </c>
      <c r="Y91" s="38" t="b">
        <f t="shared" si="21"/>
        <v>0</v>
      </c>
      <c r="Z91" s="38" t="b">
        <f t="shared" si="22"/>
        <v>0</v>
      </c>
      <c r="AA91" s="38" t="s">
        <v>124</v>
      </c>
      <c r="AB91" s="38" t="str">
        <f t="shared" si="34"/>
        <v>/</v>
      </c>
      <c r="AC91" s="38" t="str">
        <f t="shared" si="26"/>
        <v>/</v>
      </c>
      <c r="AD91" s="38" t="str">
        <f t="shared" si="27"/>
        <v>/</v>
      </c>
      <c r="AE91" s="38" t="str">
        <f t="shared" si="28"/>
        <v>/</v>
      </c>
      <c r="AF91" s="38" t="str">
        <f t="shared" si="29"/>
        <v>/</v>
      </c>
      <c r="AG91" s="38" t="str">
        <f t="shared" si="30"/>
        <v>/</v>
      </c>
      <c r="AH91" s="38" t="str">
        <f t="shared" si="31"/>
        <v>/</v>
      </c>
      <c r="AI91" s="38" t="str">
        <f t="shared" si="32"/>
        <v>/</v>
      </c>
      <c r="AJ91" s="38" t="str">
        <f t="shared" si="33"/>
        <v>/</v>
      </c>
    </row>
    <row r="92" spans="1:36" ht="18" customHeight="1" x14ac:dyDescent="0.25">
      <c r="A92" s="49"/>
      <c r="B92" s="185"/>
      <c r="C92" s="50"/>
      <c r="D92" s="50"/>
      <c r="E92" s="50"/>
      <c r="F92" s="50"/>
      <c r="G92" s="49"/>
      <c r="H92" s="49"/>
      <c r="I92" s="49"/>
      <c r="J92" s="49"/>
      <c r="K92" s="49"/>
      <c r="L92" s="49"/>
      <c r="M92" s="49"/>
    </row>
    <row r="93" spans="1:36" ht="18" customHeight="1" x14ac:dyDescent="0.25">
      <c r="A93" s="49"/>
      <c r="B93" s="2039" t="s">
        <v>2317</v>
      </c>
      <c r="C93" s="2039"/>
      <c r="D93" s="79" t="str">
        <f>IFERROR((SUM(O47:O61)+SUM(O72:O91))/K40,"")</f>
        <v/>
      </c>
      <c r="E93" s="50"/>
      <c r="F93" s="50"/>
      <c r="G93" s="49"/>
      <c r="H93" s="49"/>
      <c r="I93" s="49"/>
      <c r="J93" s="49"/>
      <c r="K93" s="49"/>
      <c r="L93" s="49"/>
      <c r="M93" s="49"/>
    </row>
    <row r="94" spans="1:36" ht="18" customHeight="1" x14ac:dyDescent="0.25">
      <c r="A94" s="49"/>
      <c r="B94" s="185"/>
      <c r="C94" s="50"/>
      <c r="D94" s="50"/>
      <c r="E94" s="50"/>
      <c r="F94" s="50"/>
      <c r="G94" s="49"/>
      <c r="H94" s="49"/>
      <c r="I94" s="49"/>
      <c r="J94" s="49"/>
      <c r="K94" s="49"/>
      <c r="L94" s="49"/>
      <c r="M94" s="49"/>
    </row>
    <row r="95" spans="1:36" ht="18" customHeight="1" x14ac:dyDescent="0.25">
      <c r="A95" s="2016" t="s">
        <v>186</v>
      </c>
      <c r="B95" s="2016"/>
      <c r="C95" s="2016"/>
      <c r="D95" s="2016"/>
      <c r="E95" s="2016"/>
      <c r="F95" s="2016"/>
      <c r="G95" s="2016"/>
      <c r="H95" s="2016"/>
      <c r="I95" s="2016"/>
      <c r="J95" s="2016"/>
      <c r="K95" s="2016"/>
      <c r="L95" s="2016"/>
      <c r="M95" s="2016"/>
    </row>
    <row r="96" spans="1:36" x14ac:dyDescent="0.25">
      <c r="A96" s="49"/>
      <c r="B96" s="50"/>
      <c r="C96" s="50"/>
      <c r="D96" s="50"/>
      <c r="E96" s="49"/>
      <c r="F96" s="49"/>
      <c r="G96" s="49"/>
      <c r="H96" s="49"/>
      <c r="I96" s="49"/>
      <c r="J96" s="49"/>
      <c r="K96" s="49"/>
      <c r="L96" s="49"/>
      <c r="M96" s="49"/>
    </row>
    <row r="97" spans="1:14" ht="27" customHeight="1" x14ac:dyDescent="0.25">
      <c r="A97" s="49"/>
      <c r="B97" s="2037" t="s">
        <v>2137</v>
      </c>
      <c r="C97" s="2038"/>
      <c r="D97" s="2038"/>
      <c r="E97" s="2038"/>
      <c r="F97" s="2038"/>
      <c r="G97" s="2038"/>
      <c r="H97" s="1097" t="s">
        <v>1737</v>
      </c>
      <c r="I97" s="2030" t="s">
        <v>1738</v>
      </c>
      <c r="J97" s="2031"/>
      <c r="K97" s="50"/>
      <c r="L97" s="49"/>
      <c r="M97" s="49"/>
    </row>
    <row r="98" spans="1:14" ht="24" customHeight="1" x14ac:dyDescent="0.25">
      <c r="A98" s="49"/>
      <c r="B98" s="1576" t="s">
        <v>1083</v>
      </c>
      <c r="C98" s="1577"/>
      <c r="D98" s="1577"/>
      <c r="E98" s="1577"/>
      <c r="F98" s="1577"/>
      <c r="G98" s="1577"/>
      <c r="H98" s="471" t="s">
        <v>124</v>
      </c>
      <c r="I98" s="1763"/>
      <c r="J98" s="1841"/>
      <c r="K98" s="49"/>
      <c r="L98" s="49"/>
      <c r="M98" s="49"/>
      <c r="N98" s="38" t="str">
        <f>IF(OR($D$41="Yes",$D$39="Yes"),IF(AND(COUNTIF(H98,"Submitted")=1,$C$108&gt;0),"Yes","No"),"Yes")</f>
        <v>Yes</v>
      </c>
    </row>
    <row r="99" spans="1:14" ht="24" customHeight="1" x14ac:dyDescent="0.25">
      <c r="A99" s="49"/>
      <c r="B99" s="1576" t="s">
        <v>1622</v>
      </c>
      <c r="C99" s="1577"/>
      <c r="D99" s="1577"/>
      <c r="E99" s="1577"/>
      <c r="F99" s="1577"/>
      <c r="G99" s="1577"/>
      <c r="H99" s="893" t="s">
        <v>124</v>
      </c>
      <c r="I99" s="1763"/>
      <c r="J99" s="1841"/>
      <c r="K99" s="49"/>
      <c r="L99" s="49"/>
      <c r="M99" s="49"/>
      <c r="N99" s="38" t="str">
        <f>IF(OR($D$41="Yes",$D$39="Yes"),IF(AND(COUNTIF(H99,"Submitted")=1,$C$108&gt;0),"Yes","No"),"Yes")</f>
        <v>Yes</v>
      </c>
    </row>
    <row r="100" spans="1:14" ht="15" customHeight="1" x14ac:dyDescent="0.25">
      <c r="A100" s="49"/>
      <c r="B100" s="279"/>
      <c r="C100" s="271"/>
      <c r="D100" s="271"/>
      <c r="E100" s="271"/>
      <c r="F100" s="1117"/>
      <c r="G100" s="271"/>
      <c r="H100" s="271"/>
      <c r="I100" s="49"/>
      <c r="J100" s="49"/>
      <c r="K100" s="49"/>
      <c r="L100" s="49"/>
      <c r="M100" s="49"/>
    </row>
    <row r="101" spans="1:14" ht="27" customHeight="1" x14ac:dyDescent="0.25">
      <c r="A101" s="49"/>
      <c r="B101" s="2037" t="s">
        <v>2136</v>
      </c>
      <c r="C101" s="2038"/>
      <c r="D101" s="2038"/>
      <c r="E101" s="2038"/>
      <c r="F101" s="2038"/>
      <c r="G101" s="2038"/>
      <c r="H101" s="1119" t="s">
        <v>1737</v>
      </c>
      <c r="I101" s="2030" t="s">
        <v>1738</v>
      </c>
      <c r="J101" s="2031"/>
      <c r="K101" s="49"/>
      <c r="L101" s="49"/>
      <c r="M101" s="49"/>
    </row>
    <row r="102" spans="1:14" ht="24" customHeight="1" x14ac:dyDescent="0.25">
      <c r="A102" s="49"/>
      <c r="B102" s="1576" t="s">
        <v>2311</v>
      </c>
      <c r="C102" s="1577"/>
      <c r="D102" s="1577"/>
      <c r="E102" s="1577"/>
      <c r="F102" s="1577"/>
      <c r="G102" s="1577"/>
      <c r="H102" s="1116" t="s">
        <v>124</v>
      </c>
      <c r="I102" s="1763"/>
      <c r="J102" s="1841"/>
      <c r="K102" s="49"/>
      <c r="L102" s="49"/>
      <c r="M102" s="49"/>
      <c r="N102" s="38" t="str">
        <f>IF(OR($D$40="Yes",$D$41="Yes"),IF(AND(COUNTIF(H102,"Submitted")=1,$C$108&gt;0),"Yes","No"),"Yes")</f>
        <v>Yes</v>
      </c>
    </row>
    <row r="103" spans="1:14" ht="26.25" customHeight="1" x14ac:dyDescent="0.25">
      <c r="A103" s="49"/>
      <c r="B103" s="1576" t="s">
        <v>2312</v>
      </c>
      <c r="C103" s="1577"/>
      <c r="D103" s="1577"/>
      <c r="E103" s="1577"/>
      <c r="F103" s="1577"/>
      <c r="G103" s="1577"/>
      <c r="H103" s="1180" t="s">
        <v>124</v>
      </c>
      <c r="I103" s="1763"/>
      <c r="J103" s="1841"/>
      <c r="K103" s="49"/>
      <c r="L103" s="49"/>
      <c r="M103" s="49"/>
      <c r="N103" s="38" t="str">
        <f>IF(OR($D$40="Yes",$D$41="Yes"),IF(AND(COUNTIF(H103,"Submitted")=1,$C$108&gt;0),"Yes","No"),"Yes")</f>
        <v>Yes</v>
      </c>
    </row>
    <row r="104" spans="1:14" ht="30" customHeight="1" x14ac:dyDescent="0.25">
      <c r="A104" s="49"/>
      <c r="B104" s="1576" t="s">
        <v>2314</v>
      </c>
      <c r="C104" s="1577"/>
      <c r="D104" s="1577"/>
      <c r="E104" s="1577"/>
      <c r="F104" s="1577"/>
      <c r="G104" s="1577"/>
      <c r="H104" s="1180" t="s">
        <v>124</v>
      </c>
      <c r="I104" s="1763"/>
      <c r="J104" s="1841"/>
      <c r="K104" s="49"/>
      <c r="L104" s="49"/>
      <c r="M104" s="49"/>
      <c r="N104" s="38" t="str">
        <f>IF(OR($D$40="Yes",$D$41="Yes"),IF(D69="TCVN 5687:2010","Yes",IF(AND(COUNTIF(H104,"Submitted")=1,$C$108&gt;0),"Yes","No")),"Yes")</f>
        <v>Yes</v>
      </c>
    </row>
    <row r="105" spans="1:14" ht="18.75" customHeight="1" x14ac:dyDescent="0.25">
      <c r="A105" s="49"/>
      <c r="B105" s="50"/>
      <c r="C105" s="50"/>
      <c r="D105" s="50"/>
      <c r="E105" s="49"/>
      <c r="F105" s="49"/>
      <c r="G105" s="49"/>
      <c r="H105" s="49"/>
      <c r="I105" s="49"/>
      <c r="J105" s="49"/>
      <c r="K105" s="49"/>
      <c r="L105" s="49"/>
      <c r="M105" s="49"/>
    </row>
    <row r="106" spans="1:14" ht="18" customHeight="1" x14ac:dyDescent="0.25">
      <c r="A106" s="2016" t="s">
        <v>22</v>
      </c>
      <c r="B106" s="2016"/>
      <c r="C106" s="2016"/>
      <c r="D106" s="2016"/>
      <c r="E106" s="2016"/>
      <c r="F106" s="2016"/>
      <c r="G106" s="2016"/>
      <c r="H106" s="2016"/>
      <c r="I106" s="2016"/>
      <c r="J106" s="2016"/>
      <c r="K106" s="2016"/>
      <c r="L106" s="2016"/>
      <c r="M106" s="2016"/>
    </row>
    <row r="107" spans="1:14" x14ac:dyDescent="0.25">
      <c r="A107" s="49"/>
      <c r="B107" s="50"/>
      <c r="C107" s="50"/>
      <c r="D107" s="50"/>
      <c r="E107" s="50"/>
      <c r="F107" s="50"/>
      <c r="G107" s="49"/>
      <c r="H107" s="49"/>
      <c r="I107" s="49"/>
      <c r="J107" s="49"/>
      <c r="K107" s="49"/>
      <c r="L107" s="49"/>
      <c r="M107" s="49"/>
    </row>
    <row r="108" spans="1:14" ht="18" customHeight="1" x14ac:dyDescent="0.25">
      <c r="A108" s="49"/>
      <c r="B108" s="180" t="s">
        <v>53</v>
      </c>
      <c r="C108" s="181">
        <f>IF(D93="",0,IF(D93&gt;=0.9,2,0))</f>
        <v>0</v>
      </c>
      <c r="D108" s="50"/>
      <c r="E108" s="49"/>
      <c r="F108" s="49"/>
      <c r="G108" s="49"/>
      <c r="H108" s="49"/>
      <c r="I108" s="49"/>
      <c r="J108" s="49"/>
      <c r="K108" s="49"/>
      <c r="L108" s="49"/>
      <c r="M108" s="49"/>
    </row>
    <row r="109" spans="1:14" ht="18" customHeight="1" x14ac:dyDescent="0.25">
      <c r="A109" s="49"/>
      <c r="B109" s="182" t="s">
        <v>492</v>
      </c>
      <c r="C109" s="181" t="str">
        <f>IF(C108&gt;0,IF(COUNTIF(N98:N104,"Yes")=5,"Yes","No"),"No")</f>
        <v>No</v>
      </c>
      <c r="D109" s="50"/>
      <c r="E109" s="50"/>
      <c r="F109" s="50"/>
      <c r="G109" s="49"/>
      <c r="H109" s="49"/>
      <c r="I109" s="49"/>
      <c r="J109" s="49"/>
      <c r="K109" s="49"/>
      <c r="L109" s="49"/>
      <c r="M109" s="49"/>
    </row>
    <row r="110" spans="1:14" ht="18.75" customHeight="1" x14ac:dyDescent="0.25">
      <c r="A110" s="49"/>
      <c r="B110" s="50"/>
      <c r="C110" s="50"/>
      <c r="D110" s="50"/>
      <c r="E110" s="50"/>
      <c r="F110" s="50"/>
      <c r="G110" s="49"/>
      <c r="H110" s="49"/>
      <c r="I110" s="49"/>
      <c r="J110" s="49"/>
      <c r="K110" s="49"/>
      <c r="L110" s="49"/>
      <c r="M110" s="49"/>
    </row>
    <row r="111" spans="1:14" hidden="1" x14ac:dyDescent="0.25">
      <c r="L111" s="49"/>
      <c r="M111" s="49"/>
    </row>
    <row r="112" spans="1:14" hidden="1" x14ac:dyDescent="0.25">
      <c r="L112" s="49"/>
      <c r="M112" s="49"/>
    </row>
    <row r="113" spans="12:13" hidden="1" x14ac:dyDescent="0.25">
      <c r="L113" s="49"/>
      <c r="M113" s="49"/>
    </row>
    <row r="114" spans="12:13" ht="15" hidden="1" customHeight="1" x14ac:dyDescent="0.25"/>
  </sheetData>
  <sheetProtection algorithmName="SHA-512" hashValue="Ztfxvj8CrcFP98em0Y1SnVydQFZo8can2AJPUOT7sILvHlDZaXDg8KYdT1V1kENn3KS2/vq1+ZRhzTjWWUpOqA==" saltValue="Wgv8P4uRA2jfhtCYMtN+DQ==" spinCount="100000" sheet="1" objects="1" scenarios="1"/>
  <mergeCells count="103">
    <mergeCell ref="B64:I64"/>
    <mergeCell ref="B69:C69"/>
    <mergeCell ref="K85:L85"/>
    <mergeCell ref="K86:L86"/>
    <mergeCell ref="B26:K26"/>
    <mergeCell ref="I40:J40"/>
    <mergeCell ref="H39:M39"/>
    <mergeCell ref="F38:G38"/>
    <mergeCell ref="F39:G39"/>
    <mergeCell ref="F40:G40"/>
    <mergeCell ref="F41:G41"/>
    <mergeCell ref="F69:G69"/>
    <mergeCell ref="D38:E38"/>
    <mergeCell ref="D39:E39"/>
    <mergeCell ref="D40:E40"/>
    <mergeCell ref="D41:E41"/>
    <mergeCell ref="E56:F56"/>
    <mergeCell ref="E57:F57"/>
    <mergeCell ref="E58:F58"/>
    <mergeCell ref="B44:I44"/>
    <mergeCell ref="B39:C39"/>
    <mergeCell ref="B40:C40"/>
    <mergeCell ref="B41:C41"/>
    <mergeCell ref="E54:F54"/>
    <mergeCell ref="B104:G104"/>
    <mergeCell ref="I104:J104"/>
    <mergeCell ref="B99:G99"/>
    <mergeCell ref="B97:G97"/>
    <mergeCell ref="I97:J97"/>
    <mergeCell ref="I98:J98"/>
    <mergeCell ref="I99:J99"/>
    <mergeCell ref="K80:L80"/>
    <mergeCell ref="K81:L81"/>
    <mergeCell ref="K82:L82"/>
    <mergeCell ref="K83:L83"/>
    <mergeCell ref="K84:L84"/>
    <mergeCell ref="B102:G102"/>
    <mergeCell ref="I102:J102"/>
    <mergeCell ref="B93:C93"/>
    <mergeCell ref="B98:G98"/>
    <mergeCell ref="B101:G101"/>
    <mergeCell ref="I101:J101"/>
    <mergeCell ref="K90:L90"/>
    <mergeCell ref="E55:F55"/>
    <mergeCell ref="B22:L22"/>
    <mergeCell ref="A1:M1"/>
    <mergeCell ref="A5:M7"/>
    <mergeCell ref="I2:K4"/>
    <mergeCell ref="K61:L61"/>
    <mergeCell ref="K46:L46"/>
    <mergeCell ref="K47:L47"/>
    <mergeCell ref="K59:L59"/>
    <mergeCell ref="K60:L60"/>
    <mergeCell ref="K48:L48"/>
    <mergeCell ref="K56:L56"/>
    <mergeCell ref="K58:L58"/>
    <mergeCell ref="K57:L57"/>
    <mergeCell ref="K54:L54"/>
    <mergeCell ref="B36:I36"/>
    <mergeCell ref="B38:C38"/>
    <mergeCell ref="K55:L55"/>
    <mergeCell ref="E59:F59"/>
    <mergeCell ref="E60:F60"/>
    <mergeCell ref="E61:F61"/>
    <mergeCell ref="B65:J65"/>
    <mergeCell ref="D69:E69"/>
    <mergeCell ref="B67:K67"/>
    <mergeCell ref="H69:I69"/>
    <mergeCell ref="K87:L87"/>
    <mergeCell ref="K89:L89"/>
    <mergeCell ref="K71:L71"/>
    <mergeCell ref="K72:L72"/>
    <mergeCell ref="K73:L73"/>
    <mergeCell ref="K74:L74"/>
    <mergeCell ref="K75:L75"/>
    <mergeCell ref="K76:L76"/>
    <mergeCell ref="K77:L77"/>
    <mergeCell ref="K78:L78"/>
    <mergeCell ref="K79:L79"/>
    <mergeCell ref="A106:M106"/>
    <mergeCell ref="K91:L91"/>
    <mergeCell ref="A9:M9"/>
    <mergeCell ref="A14:M14"/>
    <mergeCell ref="A32:M32"/>
    <mergeCell ref="A95:M95"/>
    <mergeCell ref="B11:F11"/>
    <mergeCell ref="B12:F12"/>
    <mergeCell ref="E46:F46"/>
    <mergeCell ref="E47:F47"/>
    <mergeCell ref="E48:F48"/>
    <mergeCell ref="E49:F49"/>
    <mergeCell ref="E50:F50"/>
    <mergeCell ref="E51:F51"/>
    <mergeCell ref="E52:F52"/>
    <mergeCell ref="E53:F53"/>
    <mergeCell ref="B103:G103"/>
    <mergeCell ref="I103:J103"/>
    <mergeCell ref="K49:L49"/>
    <mergeCell ref="K50:L50"/>
    <mergeCell ref="K51:L51"/>
    <mergeCell ref="K52:L52"/>
    <mergeCell ref="K53:L53"/>
    <mergeCell ref="K88:L88"/>
  </mergeCells>
  <conditionalFormatting sqref="F71:L91">
    <cfRule type="expression" dxfId="166" priority="2">
      <formula>$D$69&lt;&gt;"TCVN 5687:2010"</formula>
    </cfRule>
  </conditionalFormatting>
  <conditionalFormatting sqref="E71:L91">
    <cfRule type="expression" dxfId="165" priority="1">
      <formula>$D$69="Select"</formula>
    </cfRule>
  </conditionalFormatting>
  <dataValidations xWindow="727" yWindow="574" count="12">
    <dataValidation allowBlank="1" showInputMessage="1" showErrorMessage="1" prompt="Example: _x000a_4 openings: 1 opening of 2 m2, 1 opening of 3m2 and 2 openings of 2.5 m2_x000a_Write information as follows:_x000a_&quot;1 OP1 - 2 m2_x000a_1 OP2 - 3 m2_x000a_2 OP3 - 2.5 m2&quot;" sqref="E46:E61" xr:uid="{00000000-0002-0000-2100-000000000000}"/>
    <dataValidation type="list" allowBlank="1" showInputMessage="1" showErrorMessage="1" prompt="(Only if fresh air supply not sufficient from openings to the outdoors)_x000a_Window or door connecting the room with an adjoining room that receives sufficient fresh air supply" sqref="I47:I61" xr:uid="{00000000-0002-0000-2100-000001000000}">
      <formula1>"Select, Yes, No"</formula1>
    </dataValidation>
    <dataValidation allowBlank="1" showInputMessage="1" showErrorMessage="1" prompt="(Only if fresh air supply not sufficient from openings to the outdoors)_x000a_Window or door connecting the room with an adjoining room that receives sufficient fresh air supply" sqref="I46" xr:uid="{00000000-0002-0000-2100-000002000000}"/>
    <dataValidation type="list" allowBlank="1" showInputMessage="1" showErrorMessage="1" sqref="H98:H99 H102:H104" xr:uid="{00000000-0002-0000-2100-000003000000}">
      <formula1>"Select,Submitted,Not submitted"</formula1>
    </dataValidation>
    <dataValidation type="list" allowBlank="1" showInputMessage="1" showErrorMessage="1" sqref="D39:D41" xr:uid="{00000000-0002-0000-2100-000004000000}">
      <formula1>"Select,Yes,No"</formula1>
    </dataValidation>
    <dataValidation allowBlank="1" showInputMessage="1" showErrorMessage="1" prompt="(Only if fresh air supply not sufficient from openings to the outdoors)_x000a_Size of the window or door connecting this room with an adjoining room that receives sufficient fresh air supply" sqref="J46:J61" xr:uid="{00000000-0002-0000-2100-000005000000}"/>
    <dataValidation type="list" allowBlank="1" showInputMessage="1" showErrorMessage="1" sqref="C47:C61" xr:uid="{00000000-0002-0000-2100-000006000000}">
      <formula1>"Select,Natural Ventilation, Mixed-mode ventilation"</formula1>
    </dataValidation>
    <dataValidation type="list" allowBlank="1" showInputMessage="1" showErrorMessage="1" sqref="C72:C91" xr:uid="{00000000-0002-0000-2100-000007000000}">
      <formula1>"Select, Mechanical ventilation,Mixed-mode ventilation"</formula1>
    </dataValidation>
    <dataValidation allowBlank="1" showInputMessage="1" showErrorMessage="1" prompt="As listed in Appendix F of TCVN 5687:2010" sqref="F71:G71" xr:uid="{00000000-0002-0000-2100-000008000000}"/>
    <dataValidation type="list" allowBlank="1" showInputMessage="1" showErrorMessage="1" prompt="As listed in Appendix F of TCVN 5687:2010" sqref="F72:F91" xr:uid="{00000000-0002-0000-2100-000009000000}">
      <formula1>buildingtype</formula1>
    </dataValidation>
    <dataValidation type="list" allowBlank="1" showInputMessage="1" showErrorMessage="1" prompt="As listed in Appendix F of TCVN 5687:2010" sqref="G72:G91" xr:uid="{00000000-0002-0000-2100-00000A000000}">
      <formula1>$AA72:$AJ72</formula1>
    </dataValidation>
    <dataValidation type="list" allowBlank="1" showInputMessage="1" showErrorMessage="1" sqref="D69" xr:uid="{00000000-0002-0000-2100-00000B000000}">
      <formula1>"Select,TCVN 5687:2010, ASHRAE 62.1, Other"</formula1>
    </dataValidation>
  </dataValidations>
  <hyperlinks>
    <hyperlink ref="L2" location="'H-2 Ventilation in wet areas'!E3" tooltip="H-2" display="H-2" xr:uid="{00000000-0004-0000-2100-000000000000}"/>
    <hyperlink ref="M3" location="'H-6 External Views'!B3" tooltip="H-6" display="H-6" xr:uid="{00000000-0004-0000-2100-000001000000}"/>
    <hyperlink ref="M4" location="'H&amp;C BPC'!D3" tooltip="BPC" display="BPC" xr:uid="{00000000-0004-0000-2100-000002000000}"/>
    <hyperlink ref="M2" location="'H-5 Daylighting'!B3" tooltip="H-5" display="H-5" xr:uid="{00000000-0004-0000-2100-000003000000}"/>
    <hyperlink ref="L4" location="'H-4 Low-VOC Emissions'!B3" tooltip="H-4" display="H-4" xr:uid="{00000000-0004-0000-2100-000004000000}"/>
    <hyperlink ref="L3" location="'H-3 CO2 Monitoring'!B3" tooltip="H-3" display="H-3" xr:uid="{00000000-0004-0000-2100-000005000000}"/>
  </hyperlinks>
  <pageMargins left="0.7" right="0.7" top="0.75" bottom="0.75" header="0.3" footer="0.3"/>
  <pageSetup orientation="portrait" verticalDpi="0" r:id="rId1"/>
  <ignoredErrors>
    <ignoredError sqref="X52 X14 X35" formula="1"/>
  </ignoredErrors>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tabColor rgb="FF943634"/>
  </sheetPr>
  <dimension ref="A1:P85"/>
  <sheetViews>
    <sheetView showGridLines="0" showRowColHeaders="0" zoomScaleNormal="100" workbookViewId="0">
      <pane ySplit="8" topLeftCell="A9" activePane="bottomLeft" state="frozen"/>
      <selection pane="bottomLeft" activeCell="M2" sqref="M2"/>
    </sheetView>
  </sheetViews>
  <sheetFormatPr defaultColWidth="0" defaultRowHeight="15" zeroHeight="1" x14ac:dyDescent="0.25"/>
  <cols>
    <col min="1" max="1" width="5.7109375" style="38" customWidth="1"/>
    <col min="2" max="2" width="18.7109375" style="38" customWidth="1"/>
    <col min="3" max="3" width="17" style="38" customWidth="1"/>
    <col min="4" max="6" width="18.42578125" style="38" customWidth="1"/>
    <col min="7" max="7" width="19.42578125" style="38" customWidth="1"/>
    <col min="8" max="8" width="19.85546875" style="38" customWidth="1"/>
    <col min="9" max="9" width="16.7109375" style="38" customWidth="1"/>
    <col min="10" max="10" width="13" style="38" customWidth="1"/>
    <col min="11" max="11" width="8.85546875" style="38" customWidth="1"/>
    <col min="12" max="13" width="8.7109375" style="38" customWidth="1"/>
    <col min="14" max="16384" width="9.140625" style="38" hidden="1"/>
  </cols>
  <sheetData>
    <row r="1" spans="1:13" ht="23.25" x14ac:dyDescent="0.25">
      <c r="A1" s="2033" t="s">
        <v>197</v>
      </c>
      <c r="B1" s="2033"/>
      <c r="C1" s="2033"/>
      <c r="D1" s="2033"/>
      <c r="E1" s="2033"/>
      <c r="F1" s="2033"/>
      <c r="G1" s="2033"/>
      <c r="H1" s="2033"/>
      <c r="I1" s="2033"/>
      <c r="J1" s="2033"/>
      <c r="K1" s="2033"/>
      <c r="L1" s="2033"/>
      <c r="M1" s="2033"/>
    </row>
    <row r="2" spans="1:13" ht="15" customHeight="1" x14ac:dyDescent="0.25">
      <c r="A2" s="49"/>
      <c r="B2" s="50"/>
      <c r="C2" s="50"/>
      <c r="D2" s="50"/>
      <c r="E2" s="50"/>
      <c r="F2" s="49"/>
      <c r="G2" s="49"/>
      <c r="H2" s="49"/>
      <c r="I2" s="1585" t="s">
        <v>745</v>
      </c>
      <c r="J2" s="1585"/>
      <c r="K2" s="1585"/>
      <c r="L2" s="734" t="s">
        <v>80</v>
      </c>
      <c r="M2" s="734" t="s">
        <v>729</v>
      </c>
    </row>
    <row r="3" spans="1:13" ht="15" customHeight="1" x14ac:dyDescent="0.25">
      <c r="A3" s="49"/>
      <c r="B3" s="50"/>
      <c r="C3" s="50"/>
      <c r="D3" s="50"/>
      <c r="E3" s="50"/>
      <c r="F3" s="49"/>
      <c r="G3" s="49"/>
      <c r="H3" s="49"/>
      <c r="I3" s="1585"/>
      <c r="J3" s="1585"/>
      <c r="K3" s="1585"/>
      <c r="L3" s="734" t="s">
        <v>87</v>
      </c>
      <c r="M3" s="734" t="s">
        <v>1788</v>
      </c>
    </row>
    <row r="4" spans="1:13" ht="15" customHeight="1" x14ac:dyDescent="0.25">
      <c r="A4" s="49"/>
      <c r="B4" s="50"/>
      <c r="C4" s="50"/>
      <c r="D4" s="50"/>
      <c r="E4" s="50"/>
      <c r="F4" s="49"/>
      <c r="G4" s="49"/>
      <c r="H4" s="49"/>
      <c r="I4" s="1586"/>
      <c r="J4" s="1586"/>
      <c r="K4" s="1586"/>
      <c r="L4" s="734" t="s">
        <v>92</v>
      </c>
      <c r="M4" s="734" t="s">
        <v>76</v>
      </c>
    </row>
    <row r="5" spans="1:13" ht="16.5" customHeight="1" x14ac:dyDescent="0.25">
      <c r="A5" s="1600" t="s">
        <v>2649</v>
      </c>
      <c r="B5" s="1601"/>
      <c r="C5" s="1601"/>
      <c r="D5" s="1601"/>
      <c r="E5" s="1601"/>
      <c r="F5" s="1601"/>
      <c r="G5" s="1601"/>
      <c r="H5" s="1601"/>
      <c r="I5" s="1601"/>
      <c r="J5" s="1601"/>
      <c r="K5" s="1601"/>
      <c r="L5" s="1601"/>
      <c r="M5" s="1602"/>
    </row>
    <row r="6" spans="1:13" ht="16.5" customHeight="1" x14ac:dyDescent="0.25">
      <c r="A6" s="1603"/>
      <c r="B6" s="1604"/>
      <c r="C6" s="1604"/>
      <c r="D6" s="1604"/>
      <c r="E6" s="1604"/>
      <c r="F6" s="1604"/>
      <c r="G6" s="1604"/>
      <c r="H6" s="1604"/>
      <c r="I6" s="1604"/>
      <c r="J6" s="1604"/>
      <c r="K6" s="1604"/>
      <c r="L6" s="1604"/>
      <c r="M6" s="1605"/>
    </row>
    <row r="7" spans="1:13" ht="16.5" customHeight="1" x14ac:dyDescent="0.25">
      <c r="A7" s="1606"/>
      <c r="B7" s="1607"/>
      <c r="C7" s="1607"/>
      <c r="D7" s="1607"/>
      <c r="E7" s="1607"/>
      <c r="F7" s="1607"/>
      <c r="G7" s="1607"/>
      <c r="H7" s="1607"/>
      <c r="I7" s="1607"/>
      <c r="J7" s="1607"/>
      <c r="K7" s="1607"/>
      <c r="L7" s="1607"/>
      <c r="M7" s="1608"/>
    </row>
    <row r="8" spans="1:13" ht="12" customHeight="1" x14ac:dyDescent="0.25">
      <c r="A8" s="49"/>
      <c r="B8" s="50"/>
      <c r="C8" s="50"/>
      <c r="D8" s="50"/>
      <c r="E8" s="50"/>
      <c r="F8" s="49"/>
      <c r="G8" s="49"/>
      <c r="H8" s="49"/>
      <c r="I8" s="49"/>
      <c r="J8" s="49"/>
      <c r="K8" s="49"/>
      <c r="L8" s="49"/>
      <c r="M8" s="49"/>
    </row>
    <row r="9" spans="1:13" ht="18" customHeight="1" x14ac:dyDescent="0.25">
      <c r="A9" s="2016" t="s">
        <v>177</v>
      </c>
      <c r="B9" s="2016"/>
      <c r="C9" s="2016"/>
      <c r="D9" s="2016"/>
      <c r="E9" s="2016"/>
      <c r="F9" s="2016"/>
      <c r="G9" s="2016"/>
      <c r="H9" s="2016"/>
      <c r="I9" s="2016"/>
      <c r="J9" s="2016"/>
      <c r="K9" s="2016"/>
      <c r="L9" s="2016"/>
      <c r="M9" s="2016"/>
    </row>
    <row r="10" spans="1:13" x14ac:dyDescent="0.25">
      <c r="A10" s="49"/>
      <c r="B10" s="50"/>
      <c r="C10" s="50"/>
      <c r="D10" s="50"/>
      <c r="E10" s="50"/>
      <c r="F10" s="49"/>
      <c r="G10" s="49"/>
      <c r="H10" s="49"/>
      <c r="I10" s="49"/>
      <c r="J10" s="49"/>
      <c r="K10" s="49"/>
      <c r="L10" s="49"/>
      <c r="M10" s="49"/>
    </row>
    <row r="11" spans="1:13" ht="19.5" customHeight="1" x14ac:dyDescent="0.25">
      <c r="A11" s="49"/>
      <c r="B11" s="2019" t="s">
        <v>178</v>
      </c>
      <c r="C11" s="2020"/>
      <c r="D11" s="2020"/>
      <c r="E11" s="2020"/>
      <c r="F11" s="583" t="s">
        <v>152</v>
      </c>
      <c r="G11" s="583" t="s">
        <v>53</v>
      </c>
      <c r="H11" s="51" t="s">
        <v>492</v>
      </c>
      <c r="I11" s="49"/>
      <c r="J11" s="49"/>
      <c r="K11" s="49"/>
      <c r="L11" s="49"/>
      <c r="M11" s="49"/>
    </row>
    <row r="12" spans="1:13" ht="19.5" customHeight="1" x14ac:dyDescent="0.25">
      <c r="A12" s="49"/>
      <c r="B12" s="1791" t="s">
        <v>922</v>
      </c>
      <c r="C12" s="1792"/>
      <c r="D12" s="1792"/>
      <c r="E12" s="1793"/>
      <c r="F12" s="55">
        <v>1</v>
      </c>
      <c r="G12" s="55">
        <f>C65</f>
        <v>0</v>
      </c>
      <c r="H12" s="55" t="str">
        <f>C66</f>
        <v>No</v>
      </c>
      <c r="I12" s="49"/>
      <c r="J12" s="49"/>
      <c r="K12" s="49"/>
      <c r="L12" s="49"/>
      <c r="M12" s="49"/>
    </row>
    <row r="13" spans="1:13" x14ac:dyDescent="0.25">
      <c r="A13" s="49"/>
      <c r="B13" s="50"/>
      <c r="C13" s="50"/>
      <c r="D13" s="50"/>
      <c r="E13" s="50"/>
      <c r="F13" s="49"/>
      <c r="G13" s="49"/>
      <c r="H13" s="49"/>
      <c r="I13" s="49"/>
      <c r="J13" s="49"/>
      <c r="K13" s="49"/>
      <c r="L13" s="49"/>
      <c r="M13" s="49"/>
    </row>
    <row r="14" spans="1:13" ht="18" customHeight="1" x14ac:dyDescent="0.25">
      <c r="A14" s="2016" t="s">
        <v>245</v>
      </c>
      <c r="B14" s="2016"/>
      <c r="C14" s="2016"/>
      <c r="D14" s="2016"/>
      <c r="E14" s="2016"/>
      <c r="F14" s="2016"/>
      <c r="G14" s="2016"/>
      <c r="H14" s="2016"/>
      <c r="I14" s="2016"/>
      <c r="J14" s="2016"/>
      <c r="K14" s="2016"/>
      <c r="L14" s="2016"/>
      <c r="M14" s="2016"/>
    </row>
    <row r="15" spans="1:13" ht="12" customHeight="1" x14ac:dyDescent="0.25">
      <c r="A15" s="49"/>
      <c r="B15" s="50"/>
      <c r="C15" s="50"/>
      <c r="D15" s="50"/>
      <c r="E15" s="50"/>
      <c r="F15" s="49"/>
      <c r="G15" s="49"/>
      <c r="H15" s="49"/>
      <c r="I15" s="49"/>
      <c r="J15" s="49"/>
      <c r="K15" s="49"/>
      <c r="L15" s="49"/>
      <c r="M15" s="49"/>
    </row>
    <row r="16" spans="1:13" x14ac:dyDescent="0.25">
      <c r="A16" s="49"/>
      <c r="B16" s="566" t="s">
        <v>198</v>
      </c>
      <c r="C16" s="50"/>
      <c r="D16" s="50"/>
      <c r="E16" s="50"/>
      <c r="F16" s="49"/>
      <c r="G16" s="49"/>
      <c r="H16" s="49"/>
      <c r="I16" s="49"/>
      <c r="J16" s="49"/>
      <c r="K16" s="49"/>
      <c r="L16" s="49"/>
      <c r="M16" s="49"/>
    </row>
    <row r="17" spans="1:13" x14ac:dyDescent="0.25">
      <c r="A17" s="49"/>
      <c r="B17" s="635" t="s">
        <v>1077</v>
      </c>
      <c r="C17" s="50"/>
      <c r="D17" s="50"/>
      <c r="E17" s="50"/>
      <c r="F17" s="49"/>
      <c r="G17" s="49"/>
      <c r="H17" s="49"/>
      <c r="I17" s="49"/>
      <c r="J17" s="49"/>
      <c r="K17" s="49"/>
      <c r="L17" s="49"/>
      <c r="M17" s="49"/>
    </row>
    <row r="18" spans="1:13" x14ac:dyDescent="0.25">
      <c r="A18" s="49"/>
      <c r="B18" s="635" t="s">
        <v>199</v>
      </c>
      <c r="C18" s="50"/>
      <c r="D18" s="50"/>
      <c r="E18" s="50"/>
      <c r="F18" s="49"/>
      <c r="G18" s="49"/>
      <c r="H18" s="49"/>
      <c r="I18" s="49"/>
      <c r="J18" s="49"/>
      <c r="K18" s="49"/>
      <c r="L18" s="49"/>
      <c r="M18" s="49"/>
    </row>
    <row r="19" spans="1:13" x14ac:dyDescent="0.25">
      <c r="A19" s="49"/>
      <c r="B19" s="635" t="s">
        <v>200</v>
      </c>
      <c r="C19" s="50"/>
      <c r="D19" s="50"/>
      <c r="E19" s="50"/>
      <c r="F19" s="49"/>
      <c r="G19" s="49"/>
      <c r="H19" s="49"/>
      <c r="I19" s="49"/>
      <c r="J19" s="49"/>
      <c r="K19" s="49"/>
      <c r="L19" s="49"/>
      <c r="M19" s="49"/>
    </row>
    <row r="20" spans="1:13" ht="12" customHeight="1" x14ac:dyDescent="0.25">
      <c r="A20" s="49"/>
      <c r="B20" s="50"/>
      <c r="C20" s="50"/>
      <c r="D20" s="50"/>
      <c r="E20" s="50"/>
      <c r="F20" s="49"/>
      <c r="G20" s="49"/>
      <c r="H20" s="49"/>
      <c r="I20" s="49"/>
      <c r="J20" s="49"/>
      <c r="K20" s="49"/>
      <c r="L20" s="49"/>
      <c r="M20" s="49"/>
    </row>
    <row r="21" spans="1:13" x14ac:dyDescent="0.25">
      <c r="A21" s="49"/>
      <c r="B21" s="585" t="s">
        <v>1078</v>
      </c>
      <c r="C21" s="570"/>
      <c r="D21" s="570"/>
      <c r="E21" s="570"/>
      <c r="F21" s="570"/>
      <c r="G21" s="570"/>
      <c r="H21" s="570"/>
      <c r="I21" s="571"/>
      <c r="J21" s="49"/>
      <c r="K21" s="49"/>
      <c r="L21" s="49"/>
      <c r="M21" s="49"/>
    </row>
    <row r="22" spans="1:13" ht="9" customHeight="1" x14ac:dyDescent="0.25">
      <c r="A22" s="49"/>
      <c r="B22" s="584"/>
      <c r="C22" s="567"/>
      <c r="D22" s="567"/>
      <c r="E22" s="567"/>
      <c r="F22" s="567"/>
      <c r="G22" s="567"/>
      <c r="H22" s="567"/>
      <c r="I22" s="573"/>
      <c r="J22" s="49"/>
      <c r="K22" s="49"/>
      <c r="L22" s="49"/>
      <c r="M22" s="49"/>
    </row>
    <row r="23" spans="1:13" ht="64.5" customHeight="1" x14ac:dyDescent="0.25">
      <c r="A23" s="49"/>
      <c r="B23" s="2054" t="s">
        <v>882</v>
      </c>
      <c r="C23" s="2055"/>
      <c r="D23" s="2055"/>
      <c r="E23" s="2055"/>
      <c r="F23" s="2055"/>
      <c r="G23" s="2055"/>
      <c r="H23" s="2055"/>
      <c r="I23" s="2056"/>
      <c r="J23" s="49"/>
      <c r="K23" s="49"/>
      <c r="L23" s="49"/>
      <c r="M23" s="49"/>
    </row>
    <row r="24" spans="1:13" ht="9" customHeight="1" x14ac:dyDescent="0.25">
      <c r="A24" s="49"/>
      <c r="B24" s="586"/>
      <c r="C24" s="587"/>
      <c r="D24" s="587"/>
      <c r="E24" s="587"/>
      <c r="F24" s="587"/>
      <c r="G24" s="587"/>
      <c r="H24" s="587"/>
      <c r="I24" s="588"/>
      <c r="J24" s="49"/>
      <c r="K24" s="49"/>
      <c r="L24" s="49"/>
      <c r="M24" s="49"/>
    </row>
    <row r="25" spans="1:13" ht="66" customHeight="1" x14ac:dyDescent="0.25">
      <c r="A25" s="49"/>
      <c r="B25" s="2054" t="s">
        <v>883</v>
      </c>
      <c r="C25" s="2055"/>
      <c r="D25" s="2055"/>
      <c r="E25" s="2055"/>
      <c r="F25" s="2055"/>
      <c r="G25" s="2055"/>
      <c r="H25" s="2055"/>
      <c r="I25" s="2056"/>
      <c r="J25" s="49"/>
      <c r="K25" s="49"/>
      <c r="L25" s="49"/>
      <c r="M25" s="49"/>
    </row>
    <row r="26" spans="1:13" ht="15" customHeight="1" x14ac:dyDescent="0.25">
      <c r="A26" s="49"/>
      <c r="B26" s="572" t="s">
        <v>884</v>
      </c>
      <c r="C26" s="587"/>
      <c r="D26" s="587"/>
      <c r="E26" s="587"/>
      <c r="F26" s="587"/>
      <c r="G26" s="587"/>
      <c r="H26" s="587"/>
      <c r="I26" s="588"/>
      <c r="J26" s="49"/>
      <c r="K26" s="49"/>
      <c r="L26" s="49"/>
      <c r="M26" s="49"/>
    </row>
    <row r="27" spans="1:13" ht="9" customHeight="1" x14ac:dyDescent="0.25">
      <c r="A27" s="49"/>
      <c r="B27" s="572"/>
      <c r="C27" s="587"/>
      <c r="D27" s="587"/>
      <c r="E27" s="587"/>
      <c r="F27" s="587"/>
      <c r="G27" s="587"/>
      <c r="H27" s="587"/>
      <c r="I27" s="588"/>
      <c r="J27" s="49"/>
      <c r="K27" s="49"/>
      <c r="L27" s="49"/>
      <c r="M27" s="49"/>
    </row>
    <row r="28" spans="1:13" ht="24" customHeight="1" x14ac:dyDescent="0.25">
      <c r="A28" s="49"/>
      <c r="B28" s="2057" t="s">
        <v>923</v>
      </c>
      <c r="C28" s="2058"/>
      <c r="D28" s="2058"/>
      <c r="E28" s="2058"/>
      <c r="F28" s="2058"/>
      <c r="G28" s="2058"/>
      <c r="H28" s="2058"/>
      <c r="I28" s="2059"/>
      <c r="J28" s="49"/>
      <c r="K28" s="49"/>
      <c r="L28" s="49"/>
      <c r="M28" s="49"/>
    </row>
    <row r="29" spans="1:13" ht="19.5" customHeight="1" x14ac:dyDescent="0.25">
      <c r="A29" s="49"/>
      <c r="B29" s="479"/>
      <c r="C29" s="469"/>
      <c r="D29" s="469"/>
      <c r="E29" s="469"/>
      <c r="F29" s="469"/>
      <c r="G29" s="469"/>
      <c r="H29" s="469"/>
      <c r="I29" s="469"/>
      <c r="J29" s="469"/>
      <c r="K29" s="49"/>
      <c r="L29" s="49"/>
      <c r="M29" s="49"/>
    </row>
    <row r="30" spans="1:13" ht="18" customHeight="1" x14ac:dyDescent="0.25">
      <c r="A30" s="2016" t="s">
        <v>23</v>
      </c>
      <c r="B30" s="2016"/>
      <c r="C30" s="2016"/>
      <c r="D30" s="2016"/>
      <c r="E30" s="2016"/>
      <c r="F30" s="2016"/>
      <c r="G30" s="2016"/>
      <c r="H30" s="2016"/>
      <c r="I30" s="2016"/>
      <c r="J30" s="2016"/>
      <c r="K30" s="2016"/>
      <c r="L30" s="2016"/>
      <c r="M30" s="2016"/>
    </row>
    <row r="31" spans="1:13" x14ac:dyDescent="0.25">
      <c r="A31" s="49"/>
      <c r="B31" s="50"/>
      <c r="C31" s="50"/>
      <c r="D31" s="50"/>
      <c r="E31" s="50"/>
      <c r="F31" s="49"/>
      <c r="G31" s="49"/>
      <c r="H31" s="49"/>
      <c r="I31" s="49"/>
      <c r="J31" s="49"/>
      <c r="K31" s="49"/>
      <c r="L31" s="49"/>
      <c r="M31" s="49"/>
    </row>
    <row r="32" spans="1:13" x14ac:dyDescent="0.25">
      <c r="A32" s="49"/>
      <c r="B32" s="589" t="s">
        <v>1080</v>
      </c>
      <c r="C32" s="67"/>
      <c r="D32" s="67"/>
      <c r="E32" s="50"/>
      <c r="F32" s="49"/>
      <c r="G32" s="49"/>
      <c r="H32" s="49"/>
      <c r="I32" s="49"/>
      <c r="J32" s="49"/>
      <c r="K32" s="49"/>
      <c r="L32" s="49"/>
      <c r="M32" s="49"/>
    </row>
    <row r="33" spans="1:16" x14ac:dyDescent="0.25">
      <c r="A33" s="49"/>
      <c r="B33" s="589" t="s">
        <v>1079</v>
      </c>
      <c r="C33" s="67"/>
      <c r="D33" s="67"/>
      <c r="E33" s="50"/>
      <c r="F33" s="49"/>
      <c r="G33" s="49"/>
      <c r="H33" s="49"/>
      <c r="I33" s="49"/>
      <c r="J33" s="49"/>
      <c r="K33" s="49"/>
      <c r="L33" s="49"/>
      <c r="M33" s="49"/>
    </row>
    <row r="34" spans="1:16" x14ac:dyDescent="0.25">
      <c r="A34" s="49"/>
      <c r="B34" s="590" t="s">
        <v>1081</v>
      </c>
      <c r="C34" s="474"/>
      <c r="D34" s="474"/>
      <c r="E34" s="50"/>
      <c r="F34" s="49"/>
      <c r="G34" s="49"/>
      <c r="H34" s="49"/>
      <c r="I34" s="49"/>
      <c r="J34" s="49"/>
      <c r="K34" s="49"/>
      <c r="L34" s="49"/>
      <c r="M34" s="49"/>
    </row>
    <row r="35" spans="1:16" x14ac:dyDescent="0.25">
      <c r="A35" s="49"/>
      <c r="B35" s="590" t="s">
        <v>1082</v>
      </c>
      <c r="C35" s="474"/>
      <c r="D35" s="474"/>
      <c r="E35" s="50"/>
      <c r="F35" s="49"/>
      <c r="G35" s="49"/>
      <c r="H35" s="49"/>
      <c r="I35" s="49"/>
      <c r="J35" s="49"/>
      <c r="K35" s="49"/>
      <c r="L35" s="49"/>
      <c r="M35" s="49"/>
    </row>
    <row r="36" spans="1:16" ht="12" customHeight="1" x14ac:dyDescent="0.25">
      <c r="A36" s="49"/>
      <c r="B36" s="50"/>
      <c r="C36" s="50"/>
      <c r="D36" s="50"/>
      <c r="E36" s="50"/>
      <c r="F36" s="49"/>
      <c r="G36" s="49"/>
      <c r="H36" s="49"/>
      <c r="I36" s="49"/>
      <c r="J36" s="49"/>
      <c r="K36" s="49"/>
      <c r="L36" s="49"/>
      <c r="M36" s="49"/>
    </row>
    <row r="37" spans="1:16" ht="38.25" x14ac:dyDescent="0.25">
      <c r="A37" s="49"/>
      <c r="B37" s="736" t="s">
        <v>201</v>
      </c>
      <c r="C37" s="737" t="s">
        <v>488</v>
      </c>
      <c r="D37" s="737" t="s">
        <v>879</v>
      </c>
      <c r="E37" s="737" t="s">
        <v>880</v>
      </c>
      <c r="F37" s="737" t="s">
        <v>881</v>
      </c>
      <c r="G37" s="737" t="s">
        <v>202</v>
      </c>
      <c r="H37" s="737" t="s">
        <v>205</v>
      </c>
      <c r="I37" s="738" t="s">
        <v>207</v>
      </c>
      <c r="J37" s="737" t="s">
        <v>206</v>
      </c>
      <c r="K37" s="2052" t="s">
        <v>172</v>
      </c>
      <c r="L37" s="2053"/>
      <c r="M37" s="49"/>
      <c r="N37" s="49"/>
    </row>
    <row r="38" spans="1:16" ht="24" customHeight="1" x14ac:dyDescent="0.25">
      <c r="A38" s="49"/>
      <c r="B38" s="678"/>
      <c r="C38" s="678" t="s">
        <v>124</v>
      </c>
      <c r="D38" s="382"/>
      <c r="E38" s="382"/>
      <c r="F38" s="382"/>
      <c r="G38" s="735" t="str">
        <f>IF(AND(D38&lt;&gt;"",E38&lt;&gt;"",F38&lt;&gt;""),IF(C38="CLVE",D38*E38*F38*5/3.6,50),"")</f>
        <v/>
      </c>
      <c r="H38" s="678"/>
      <c r="I38" s="391" t="str">
        <f>IF(C38="CLVE","None",IF(H38="","",IF(H38&lt;(D38*E38*F38*5/3.6),"Vented range hood required","None")))</f>
        <v/>
      </c>
      <c r="J38" s="679" t="s">
        <v>124</v>
      </c>
      <c r="K38" s="2051" t="str">
        <f>IF(G38="","",IF(I38="None",IF(H38&gt;=G38,"Yes","No"),IF(AND(H38&gt;=G38,J38="Yes"),"Yes","No")))</f>
        <v/>
      </c>
      <c r="L38" s="2051"/>
      <c r="M38" s="49"/>
      <c r="N38" s="49"/>
    </row>
    <row r="39" spans="1:16" ht="24" customHeight="1" x14ac:dyDescent="0.25">
      <c r="A39" s="49"/>
      <c r="B39" s="166"/>
      <c r="C39" s="471" t="s">
        <v>124</v>
      </c>
      <c r="D39" s="168"/>
      <c r="E39" s="168"/>
      <c r="F39" s="168"/>
      <c r="G39" s="46" t="str">
        <f>IF(AND(D39&lt;&gt;"",E39&lt;&gt;"",F39&lt;&gt;""),IF(C39="CLVE",D39*E39*F39*5/3.6,50),"")</f>
        <v/>
      </c>
      <c r="H39" s="166"/>
      <c r="I39" s="297" t="str">
        <f>IF(C39="CLVE","None",IF(H39="","",IF(H39&lt;(D39*E39*F39*5/3.6),"Vented range hood required","None")))</f>
        <v/>
      </c>
      <c r="J39" s="677" t="s">
        <v>124</v>
      </c>
      <c r="K39" s="2051" t="str">
        <f>IF(G39="","",IF(I39="None",IF(H39&gt;=G39,"Yes","No"),IF(AND(H39&gt;=G39,J39="Yes"),"Yes","No")))</f>
        <v/>
      </c>
      <c r="L39" s="2051"/>
      <c r="M39" s="49"/>
      <c r="N39" s="49"/>
    </row>
    <row r="40" spans="1:16" ht="24" customHeight="1" x14ac:dyDescent="0.25">
      <c r="A40" s="49"/>
      <c r="B40" s="166"/>
      <c r="C40" s="471" t="s">
        <v>124</v>
      </c>
      <c r="D40" s="168"/>
      <c r="E40" s="168"/>
      <c r="F40" s="168"/>
      <c r="G40" s="46" t="str">
        <f>IF(AND(D40&lt;&gt;"",E40&lt;&gt;"",F40&lt;&gt;""),IF(C40="CLVE",D40*E40*F40*5/3.6,50),"")</f>
        <v/>
      </c>
      <c r="H40" s="166"/>
      <c r="I40" s="297" t="str">
        <f>IF(C40="CLVE","None",IF(H40="","",IF(H40&lt;(D40*E40*F40*5/3.6),"Vented range hood required","None")))</f>
        <v/>
      </c>
      <c r="J40" s="677" t="s">
        <v>124</v>
      </c>
      <c r="K40" s="2051" t="str">
        <f>IF(G40="","",IF(I40="None",IF(H40&gt;=G40,"Yes","No"),IF(AND(H40&gt;=G40,J40="Yes"),"Yes","No")))</f>
        <v/>
      </c>
      <c r="L40" s="2051"/>
      <c r="M40" s="49"/>
      <c r="N40" s="49"/>
    </row>
    <row r="41" spans="1:16" ht="19.5" customHeight="1" x14ac:dyDescent="0.25">
      <c r="A41" s="49"/>
      <c r="B41" s="50"/>
      <c r="C41" s="50"/>
      <c r="D41" s="50"/>
      <c r="E41" s="739"/>
      <c r="F41" s="739"/>
      <c r="G41" s="739"/>
      <c r="H41" s="739"/>
      <c r="I41" s="49"/>
      <c r="J41" s="49"/>
      <c r="K41" s="49"/>
      <c r="L41" s="49"/>
      <c r="M41" s="49"/>
    </row>
    <row r="42" spans="1:16" ht="18" customHeight="1" x14ac:dyDescent="0.25">
      <c r="A42" s="49"/>
      <c r="B42" s="50"/>
      <c r="C42" s="50"/>
      <c r="D42" s="50"/>
      <c r="E42" s="2049" t="s">
        <v>885</v>
      </c>
      <c r="F42" s="2050"/>
      <c r="G42" s="2049" t="s">
        <v>886</v>
      </c>
      <c r="H42" s="2050"/>
      <c r="I42" s="49"/>
      <c r="J42" s="49"/>
      <c r="K42" s="49"/>
      <c r="L42" s="49"/>
      <c r="M42" s="49"/>
    </row>
    <row r="43" spans="1:16" ht="27" x14ac:dyDescent="0.25">
      <c r="A43" s="49"/>
      <c r="B43" s="44" t="s">
        <v>203</v>
      </c>
      <c r="C43" s="44" t="s">
        <v>204</v>
      </c>
      <c r="D43" s="487" t="s">
        <v>488</v>
      </c>
      <c r="E43" s="740" t="s">
        <v>1317</v>
      </c>
      <c r="F43" s="741" t="s">
        <v>1318</v>
      </c>
      <c r="G43" s="740" t="s">
        <v>202</v>
      </c>
      <c r="H43" s="741" t="s">
        <v>205</v>
      </c>
      <c r="I43" s="492" t="s">
        <v>172</v>
      </c>
      <c r="J43" s="49"/>
      <c r="K43" s="49"/>
      <c r="L43" s="49"/>
      <c r="M43" s="49"/>
      <c r="N43" s="49"/>
      <c r="O43" s="49"/>
      <c r="P43" s="49"/>
    </row>
    <row r="44" spans="1:16" x14ac:dyDescent="0.25">
      <c r="A44" s="49"/>
      <c r="B44" s="166"/>
      <c r="C44" s="166" t="s">
        <v>124</v>
      </c>
      <c r="D44" s="471" t="s">
        <v>124</v>
      </c>
      <c r="E44" s="678"/>
      <c r="F44" s="678"/>
      <c r="G44" s="742" t="str">
        <f>IF(D44="operable window","",IF(AND(C44&lt;&gt;"",D44&lt;&gt;"Select",D44&lt;&gt;""),IF(D44="CLVE",10,25),""))</f>
        <v/>
      </c>
      <c r="H44" s="678"/>
      <c r="I44" s="297" t="str">
        <f>IF(OR(D44="",D44="Select"),"",IF(D44="operable window",IF(OR(E44="",F44=""),"",IF(AND(F44&gt;=0.04*E44,F44&gt;=0.15),"Yes","No")),IF(G44="","",IF(H44&gt;=G44,"Yes","No"))))</f>
        <v/>
      </c>
      <c r="J44" s="49"/>
      <c r="K44" s="49"/>
      <c r="L44" s="49"/>
      <c r="M44" s="49"/>
      <c r="N44" s="49"/>
      <c r="O44" s="49"/>
      <c r="P44" s="49"/>
    </row>
    <row r="45" spans="1:16" x14ac:dyDescent="0.25">
      <c r="A45" s="49"/>
      <c r="B45" s="166"/>
      <c r="C45" s="483" t="s">
        <v>124</v>
      </c>
      <c r="D45" s="471" t="s">
        <v>124</v>
      </c>
      <c r="E45" s="471"/>
      <c r="F45" s="471"/>
      <c r="G45" s="45" t="str">
        <f>IF(D45="operable window","",IF(AND(C45&lt;&gt;"",D45&lt;&gt;"Select",D45&lt;&gt;""),IF(D45="CLVE",10,25),""))</f>
        <v/>
      </c>
      <c r="H45" s="166"/>
      <c r="I45" s="297" t="str">
        <f t="shared" ref="I45:I53" si="0">IF(OR(D45="",D45="Select"),"",IF(D45="operable window",IF(OR(E45="",F45=""),"",IF(AND(F45&gt;=0.04*E45,F45&gt;=0.15),"Yes","No")),IF(G45="","",IF(H45&gt;=G45,"Yes","No"))))</f>
        <v/>
      </c>
      <c r="J45" s="49"/>
      <c r="K45" s="49"/>
      <c r="L45" s="49"/>
      <c r="M45" s="49"/>
      <c r="N45" s="49"/>
      <c r="O45" s="49"/>
      <c r="P45" s="49"/>
    </row>
    <row r="46" spans="1:16" x14ac:dyDescent="0.25">
      <c r="A46" s="49"/>
      <c r="B46" s="1267"/>
      <c r="C46" s="1267" t="s">
        <v>124</v>
      </c>
      <c r="D46" s="1267" t="s">
        <v>124</v>
      </c>
      <c r="E46" s="1267"/>
      <c r="F46" s="1267"/>
      <c r="G46" s="45" t="str">
        <f t="shared" ref="G46:G49" si="1">IF(D46="operable window","",IF(AND(C46&lt;&gt;"",D46&lt;&gt;"Select",D46&lt;&gt;""),IF(D46="CLVE",10,25),""))</f>
        <v/>
      </c>
      <c r="H46" s="1267"/>
      <c r="I46" s="297" t="str">
        <f t="shared" ref="I46:I49" si="2">IF(OR(D46="",D46="Select"),"",IF(D46="operable window",IF(OR(E46="",F46=""),"",IF(AND(F46&gt;=0.04*E46,F46&gt;=0.15),"Yes","No")),IF(G46="","",IF(H46&gt;=G46,"Yes","No"))))</f>
        <v/>
      </c>
      <c r="J46" s="49"/>
      <c r="K46" s="49"/>
      <c r="L46" s="49"/>
      <c r="M46" s="49"/>
      <c r="N46" s="49"/>
      <c r="O46" s="49"/>
      <c r="P46" s="49"/>
    </row>
    <row r="47" spans="1:16" x14ac:dyDescent="0.25">
      <c r="A47" s="49"/>
      <c r="B47" s="1267"/>
      <c r="C47" s="1267" t="s">
        <v>124</v>
      </c>
      <c r="D47" s="1267" t="s">
        <v>124</v>
      </c>
      <c r="E47" s="1267"/>
      <c r="F47" s="1267"/>
      <c r="G47" s="45" t="str">
        <f t="shared" ref="G47:G48" si="3">IF(D47="operable window","",IF(AND(C47&lt;&gt;"",D47&lt;&gt;"Select",D47&lt;&gt;""),IF(D47="CLVE",10,25),""))</f>
        <v/>
      </c>
      <c r="H47" s="1267"/>
      <c r="I47" s="297" t="str">
        <f t="shared" ref="I47:I48" si="4">IF(OR(D47="",D47="Select"),"",IF(D47="operable window",IF(OR(E47="",F47=""),"",IF(AND(F47&gt;=0.04*E47,F47&gt;=0.15),"Yes","No")),IF(G47="","",IF(H47&gt;=G47,"Yes","No"))))</f>
        <v/>
      </c>
      <c r="J47" s="49"/>
      <c r="K47" s="49"/>
      <c r="L47" s="49"/>
      <c r="M47" s="49"/>
      <c r="N47" s="49"/>
      <c r="O47" s="49"/>
      <c r="P47" s="49"/>
    </row>
    <row r="48" spans="1:16" x14ac:dyDescent="0.25">
      <c r="A48" s="49"/>
      <c r="B48" s="1267"/>
      <c r="C48" s="1267" t="s">
        <v>124</v>
      </c>
      <c r="D48" s="1267" t="s">
        <v>124</v>
      </c>
      <c r="E48" s="1267"/>
      <c r="F48" s="1267"/>
      <c r="G48" s="45" t="str">
        <f t="shared" si="3"/>
        <v/>
      </c>
      <c r="H48" s="1267"/>
      <c r="I48" s="297" t="str">
        <f t="shared" si="4"/>
        <v/>
      </c>
      <c r="J48" s="49"/>
      <c r="K48" s="49"/>
      <c r="L48" s="49"/>
      <c r="M48" s="49"/>
      <c r="N48" s="49"/>
      <c r="O48" s="49"/>
      <c r="P48" s="49"/>
    </row>
    <row r="49" spans="1:16" x14ac:dyDescent="0.25">
      <c r="A49" s="49"/>
      <c r="B49" s="1267"/>
      <c r="C49" s="1267" t="s">
        <v>124</v>
      </c>
      <c r="D49" s="1267" t="s">
        <v>124</v>
      </c>
      <c r="E49" s="1267"/>
      <c r="F49" s="1267"/>
      <c r="G49" s="45" t="str">
        <f t="shared" si="1"/>
        <v/>
      </c>
      <c r="H49" s="1267"/>
      <c r="I49" s="297" t="str">
        <f t="shared" si="2"/>
        <v/>
      </c>
      <c r="J49" s="49"/>
      <c r="K49" s="49"/>
      <c r="L49" s="49"/>
      <c r="M49" s="49"/>
      <c r="N49" s="49"/>
      <c r="O49" s="49"/>
      <c r="P49" s="49"/>
    </row>
    <row r="50" spans="1:16" x14ac:dyDescent="0.25">
      <c r="A50" s="49"/>
      <c r="B50" s="1267"/>
      <c r="C50" s="1267" t="s">
        <v>124</v>
      </c>
      <c r="D50" s="1267" t="s">
        <v>124</v>
      </c>
      <c r="E50" s="1267"/>
      <c r="F50" s="1267"/>
      <c r="G50" s="45" t="str">
        <f t="shared" ref="G50:G51" si="5">IF(D50="operable window","",IF(AND(C50&lt;&gt;"",D50&lt;&gt;"Select",D50&lt;&gt;""),IF(D50="CLVE",10,25),""))</f>
        <v/>
      </c>
      <c r="H50" s="1267"/>
      <c r="I50" s="297" t="str">
        <f t="shared" ref="I50:I51" si="6">IF(OR(D50="",D50="Select"),"",IF(D50="operable window",IF(OR(E50="",F50=""),"",IF(AND(F50&gt;=0.04*E50,F50&gt;=0.15),"Yes","No")),IF(G50="","",IF(H50&gt;=G50,"Yes","No"))))</f>
        <v/>
      </c>
      <c r="J50" s="49"/>
      <c r="K50" s="49"/>
      <c r="L50" s="49"/>
      <c r="M50" s="49"/>
      <c r="N50" s="49"/>
      <c r="O50" s="49"/>
      <c r="P50" s="49"/>
    </row>
    <row r="51" spans="1:16" x14ac:dyDescent="0.25">
      <c r="A51" s="49"/>
      <c r="B51" s="1267"/>
      <c r="C51" s="1267" t="s">
        <v>124</v>
      </c>
      <c r="D51" s="1267" t="s">
        <v>124</v>
      </c>
      <c r="E51" s="1267"/>
      <c r="F51" s="1267"/>
      <c r="G51" s="45" t="str">
        <f t="shared" si="5"/>
        <v/>
      </c>
      <c r="H51" s="1267"/>
      <c r="I51" s="297" t="str">
        <f t="shared" si="6"/>
        <v/>
      </c>
      <c r="J51" s="49"/>
      <c r="K51" s="49"/>
      <c r="L51" s="49"/>
      <c r="M51" s="49"/>
      <c r="N51" s="49"/>
      <c r="O51" s="49"/>
      <c r="P51" s="49"/>
    </row>
    <row r="52" spans="1:16" x14ac:dyDescent="0.25">
      <c r="A52" s="49"/>
      <c r="B52" s="166"/>
      <c r="C52" s="483" t="s">
        <v>124</v>
      </c>
      <c r="D52" s="471" t="s">
        <v>124</v>
      </c>
      <c r="E52" s="471"/>
      <c r="F52" s="471"/>
      <c r="G52" s="45" t="str">
        <f>IF(D52="operable window","",IF(AND(C52&lt;&gt;"",D52&lt;&gt;"Select",D52&lt;&gt;""),IF(D52="CLVE",10,25),""))</f>
        <v/>
      </c>
      <c r="H52" s="166"/>
      <c r="I52" s="297" t="str">
        <f t="shared" si="0"/>
        <v/>
      </c>
      <c r="J52" s="49"/>
      <c r="K52" s="49"/>
      <c r="L52" s="49"/>
      <c r="M52" s="49"/>
      <c r="N52" s="49"/>
      <c r="O52" s="49"/>
      <c r="P52" s="49"/>
    </row>
    <row r="53" spans="1:16" x14ac:dyDescent="0.25">
      <c r="A53" s="49"/>
      <c r="B53" s="166"/>
      <c r="C53" s="483" t="s">
        <v>124</v>
      </c>
      <c r="D53" s="471" t="s">
        <v>124</v>
      </c>
      <c r="E53" s="471"/>
      <c r="F53" s="471"/>
      <c r="G53" s="45" t="str">
        <f>IF(D53="operable window","",IF(AND(C53&lt;&gt;"",D53&lt;&gt;"Select",D53&lt;&gt;""),IF(D53="CLVE",10,25),""))</f>
        <v/>
      </c>
      <c r="H53" s="166"/>
      <c r="I53" s="297" t="str">
        <f t="shared" si="0"/>
        <v/>
      </c>
      <c r="J53" s="49"/>
      <c r="K53" s="49"/>
      <c r="L53" s="49"/>
      <c r="M53" s="49"/>
      <c r="N53" s="49"/>
      <c r="O53" s="49"/>
      <c r="P53" s="49"/>
    </row>
    <row r="54" spans="1:16" ht="15.75" customHeight="1" x14ac:dyDescent="0.25">
      <c r="A54" s="49"/>
      <c r="B54" s="50"/>
      <c r="C54" s="50"/>
      <c r="D54" s="50"/>
      <c r="E54" s="50"/>
      <c r="G54" s="49"/>
      <c r="H54" s="49"/>
      <c r="I54" s="49"/>
      <c r="J54" s="49"/>
      <c r="K54" s="49"/>
      <c r="L54" s="49"/>
      <c r="M54" s="49"/>
    </row>
    <row r="55" spans="1:16" ht="18" customHeight="1" x14ac:dyDescent="0.25">
      <c r="A55" s="49"/>
      <c r="B55" s="2039" t="s">
        <v>208</v>
      </c>
      <c r="C55" s="2039"/>
      <c r="D55" s="79" t="str">
        <f>IF(COUNTBLANK(G38:G40)+COUNTBLANK(G44:G53)=13,"",IF(COUNTIF(K38:L40,"No")+COUNTIF(I44:I53,"No")=0,"Yes","No"))</f>
        <v/>
      </c>
      <c r="E55" s="49"/>
      <c r="F55" s="49"/>
      <c r="G55" s="49"/>
      <c r="H55" s="49"/>
      <c r="I55" s="49"/>
      <c r="J55" s="49"/>
      <c r="K55" s="49"/>
      <c r="L55" s="49"/>
      <c r="M55" s="49"/>
    </row>
    <row r="56" spans="1:16" ht="18" customHeight="1" x14ac:dyDescent="0.25">
      <c r="A56" s="49"/>
      <c r="B56" s="50"/>
      <c r="C56" s="50"/>
      <c r="D56" s="50"/>
      <c r="E56" s="49"/>
      <c r="F56" s="49"/>
      <c r="G56" s="49"/>
      <c r="H56" s="49"/>
      <c r="I56" s="49"/>
      <c r="J56" s="49"/>
      <c r="K56" s="49"/>
      <c r="L56" s="49"/>
      <c r="M56" s="49"/>
    </row>
    <row r="57" spans="1:16" ht="18" customHeight="1" x14ac:dyDescent="0.25">
      <c r="A57" s="2016" t="s">
        <v>186</v>
      </c>
      <c r="B57" s="2016"/>
      <c r="C57" s="2016"/>
      <c r="D57" s="2016"/>
      <c r="E57" s="2016"/>
      <c r="F57" s="2016"/>
      <c r="G57" s="2016"/>
      <c r="H57" s="2016"/>
      <c r="I57" s="2016"/>
      <c r="J57" s="2016"/>
      <c r="K57" s="2016"/>
      <c r="L57" s="2016"/>
      <c r="M57" s="2016"/>
    </row>
    <row r="58" spans="1:16" ht="12.75" customHeight="1" x14ac:dyDescent="0.25">
      <c r="A58" s="49"/>
      <c r="B58" s="50"/>
      <c r="C58" s="50"/>
      <c r="D58" s="50"/>
      <c r="E58" s="49"/>
      <c r="F58" s="49"/>
      <c r="G58" s="49"/>
      <c r="H58" s="49"/>
      <c r="I58" s="49"/>
      <c r="J58" s="49"/>
      <c r="K58" s="49"/>
      <c r="L58" s="49"/>
      <c r="M58" s="49"/>
    </row>
    <row r="59" spans="1:16" ht="18" customHeight="1" x14ac:dyDescent="0.25">
      <c r="A59" s="49"/>
      <c r="B59" s="2035" t="s">
        <v>1739</v>
      </c>
      <c r="C59" s="2036"/>
      <c r="D59" s="2036"/>
      <c r="E59" s="2036"/>
      <c r="F59" s="2036"/>
      <c r="G59" s="2036"/>
      <c r="H59" s="1170" t="s">
        <v>1737</v>
      </c>
      <c r="I59" s="2030" t="s">
        <v>1738</v>
      </c>
      <c r="J59" s="2031"/>
      <c r="K59" s="49"/>
      <c r="L59" s="49"/>
      <c r="M59" s="49"/>
    </row>
    <row r="60" spans="1:16" ht="24" customHeight="1" x14ac:dyDescent="0.25">
      <c r="A60" s="49"/>
      <c r="B60" s="1576" t="s">
        <v>1084</v>
      </c>
      <c r="C60" s="1577"/>
      <c r="D60" s="1577"/>
      <c r="E60" s="1577"/>
      <c r="F60" s="1577"/>
      <c r="G60" s="1578"/>
      <c r="H60" s="471" t="s">
        <v>124</v>
      </c>
      <c r="I60" s="1763"/>
      <c r="J60" s="1841"/>
      <c r="K60" s="49"/>
      <c r="L60" s="49"/>
      <c r="M60" s="49"/>
    </row>
    <row r="61" spans="1:16" ht="24" customHeight="1" x14ac:dyDescent="0.25">
      <c r="A61" s="49"/>
      <c r="B61" s="1576" t="s">
        <v>1085</v>
      </c>
      <c r="C61" s="1577"/>
      <c r="D61" s="1577"/>
      <c r="E61" s="1577"/>
      <c r="F61" s="1577"/>
      <c r="G61" s="1578"/>
      <c r="H61" s="471" t="s">
        <v>124</v>
      </c>
      <c r="I61" s="1763"/>
      <c r="J61" s="1841"/>
      <c r="K61" s="49"/>
      <c r="L61" s="49"/>
      <c r="M61" s="49"/>
    </row>
    <row r="62" spans="1:16" ht="19.5" customHeight="1" x14ac:dyDescent="0.25">
      <c r="A62" s="49"/>
      <c r="B62" s="50"/>
      <c r="C62" s="50"/>
      <c r="D62" s="50"/>
      <c r="E62" s="49"/>
      <c r="F62" s="49"/>
      <c r="G62" s="49"/>
      <c r="H62" s="49"/>
      <c r="I62" s="49"/>
      <c r="J62" s="49"/>
      <c r="K62" s="49"/>
      <c r="L62" s="49"/>
      <c r="M62" s="49"/>
    </row>
    <row r="63" spans="1:16" ht="18" customHeight="1" x14ac:dyDescent="0.25">
      <c r="A63" s="2016" t="s">
        <v>22</v>
      </c>
      <c r="B63" s="2016"/>
      <c r="C63" s="2016"/>
      <c r="D63" s="2016"/>
      <c r="E63" s="2016"/>
      <c r="F63" s="2016"/>
      <c r="G63" s="2016"/>
      <c r="H63" s="2016"/>
      <c r="I63" s="2016"/>
      <c r="J63" s="2016"/>
      <c r="K63" s="2016"/>
      <c r="L63" s="2016"/>
      <c r="M63" s="2016"/>
    </row>
    <row r="64" spans="1:16" x14ac:dyDescent="0.25">
      <c r="A64" s="49"/>
      <c r="B64" s="50"/>
      <c r="C64" s="50"/>
      <c r="D64" s="50"/>
      <c r="E64" s="50"/>
      <c r="F64" s="49"/>
      <c r="G64" s="49"/>
      <c r="H64" s="49"/>
      <c r="I64" s="49"/>
      <c r="J64" s="49"/>
      <c r="K64" s="49"/>
      <c r="L64" s="49"/>
      <c r="M64" s="49"/>
    </row>
    <row r="65" spans="1:13" ht="18" customHeight="1" x14ac:dyDescent="0.25">
      <c r="A65" s="49"/>
      <c r="B65" s="180" t="s">
        <v>53</v>
      </c>
      <c r="C65" s="181">
        <f>IF(D55="Yes",1,0)</f>
        <v>0</v>
      </c>
      <c r="D65" s="50"/>
      <c r="E65" s="49"/>
      <c r="F65" s="49"/>
      <c r="G65" s="49"/>
      <c r="H65" s="49"/>
      <c r="I65" s="49"/>
      <c r="J65" s="49"/>
      <c r="K65" s="49"/>
      <c r="L65" s="49"/>
      <c r="M65" s="49"/>
    </row>
    <row r="66" spans="1:13" ht="18" customHeight="1" x14ac:dyDescent="0.25">
      <c r="A66" s="49"/>
      <c r="B66" s="182" t="s">
        <v>492</v>
      </c>
      <c r="C66" s="181" t="str">
        <f>IF(AND(COUNTIF(H60:H61,"Submitted")=2,C65&gt;0),"Yes","No")</f>
        <v>No</v>
      </c>
      <c r="D66" s="50"/>
      <c r="E66" s="50"/>
      <c r="F66" s="49"/>
      <c r="G66" s="49"/>
      <c r="H66" s="49"/>
      <c r="I66" s="49"/>
      <c r="J66" s="49"/>
      <c r="K66" s="49"/>
      <c r="L66" s="49"/>
      <c r="M66" s="49"/>
    </row>
    <row r="67" spans="1:13" ht="21" customHeight="1" x14ac:dyDescent="0.25">
      <c r="A67" s="49"/>
      <c r="B67" s="50"/>
      <c r="C67" s="50"/>
      <c r="D67" s="50"/>
      <c r="E67" s="50"/>
      <c r="F67" s="49"/>
      <c r="G67" s="49"/>
      <c r="H67" s="49"/>
      <c r="I67" s="49"/>
      <c r="J67" s="49"/>
      <c r="K67" s="49"/>
      <c r="L67" s="49"/>
      <c r="M67" s="49"/>
    </row>
    <row r="68" spans="1:13" hidden="1" x14ac:dyDescent="0.25">
      <c r="J68" s="49"/>
      <c r="K68" s="49"/>
      <c r="L68" s="49"/>
      <c r="M68" s="49"/>
    </row>
    <row r="69" spans="1:13" hidden="1" x14ac:dyDescent="0.25">
      <c r="J69" s="49"/>
      <c r="K69" s="49"/>
      <c r="L69" s="49"/>
      <c r="M69" s="49"/>
    </row>
    <row r="70" spans="1:13" hidden="1" x14ac:dyDescent="0.25">
      <c r="J70" s="49"/>
      <c r="K70" s="49"/>
      <c r="L70" s="49"/>
      <c r="M70" s="49"/>
    </row>
    <row r="71" spans="1:13" hidden="1" x14ac:dyDescent="0.25"/>
    <row r="72" spans="1:13" hidden="1" x14ac:dyDescent="0.25"/>
    <row r="73" spans="1:13" hidden="1" x14ac:dyDescent="0.25"/>
    <row r="74" spans="1:13" hidden="1" x14ac:dyDescent="0.25"/>
    <row r="75" spans="1:13" hidden="1" x14ac:dyDescent="0.25"/>
    <row r="76" spans="1:13" hidden="1" x14ac:dyDescent="0.25"/>
    <row r="77" spans="1:13" hidden="1" x14ac:dyDescent="0.25"/>
    <row r="78" spans="1:13" hidden="1" x14ac:dyDescent="0.25"/>
    <row r="79" spans="1:13" hidden="1" x14ac:dyDescent="0.25"/>
    <row r="80" spans="1:13" hidden="1" x14ac:dyDescent="0.25"/>
    <row r="81" hidden="1" x14ac:dyDescent="0.25"/>
    <row r="82" hidden="1" x14ac:dyDescent="0.25"/>
    <row r="83" hidden="1" x14ac:dyDescent="0.25"/>
    <row r="84" hidden="1" x14ac:dyDescent="0.25"/>
    <row r="85" hidden="1" x14ac:dyDescent="0.25"/>
  </sheetData>
  <sheetProtection algorithmName="SHA-512" hashValue="4GRl0ZlyQxwWO4MmJGFSHiCjF7GJhdxEDoYI0SHIFwe65J9i+uisSVNVJ9mKPLaX55+dLhs4wXALtyIxjVoGcw==" saltValue="bq/2uzV25ThEaAi9lRSRAQ==" spinCount="100000" sheet="1" objects="1" scenarios="1"/>
  <mergeCells count="26">
    <mergeCell ref="A1:M1"/>
    <mergeCell ref="I2:K4"/>
    <mergeCell ref="K37:L37"/>
    <mergeCell ref="K38:L38"/>
    <mergeCell ref="K39:L39"/>
    <mergeCell ref="B12:E12"/>
    <mergeCell ref="B11:E11"/>
    <mergeCell ref="A5:M7"/>
    <mergeCell ref="B23:I23"/>
    <mergeCell ref="B25:I25"/>
    <mergeCell ref="B28:I28"/>
    <mergeCell ref="A9:M9"/>
    <mergeCell ref="A14:M14"/>
    <mergeCell ref="A63:M63"/>
    <mergeCell ref="A30:M30"/>
    <mergeCell ref="E42:F42"/>
    <mergeCell ref="G42:H42"/>
    <mergeCell ref="K40:L40"/>
    <mergeCell ref="B60:G60"/>
    <mergeCell ref="B61:G61"/>
    <mergeCell ref="B59:G59"/>
    <mergeCell ref="B55:C55"/>
    <mergeCell ref="A57:M57"/>
    <mergeCell ref="I59:J59"/>
    <mergeCell ref="I60:J60"/>
    <mergeCell ref="I61:J61"/>
  </mergeCells>
  <conditionalFormatting sqref="B60:B61">
    <cfRule type="expression" dxfId="164" priority="8">
      <formula>#REF!&lt;&gt;"Prescriptive Path"</formula>
    </cfRule>
  </conditionalFormatting>
  <conditionalFormatting sqref="H60:H61">
    <cfRule type="expression" dxfId="163" priority="7">
      <formula>#REF!&lt;&gt;"Prescriptive Path"</formula>
    </cfRule>
  </conditionalFormatting>
  <conditionalFormatting sqref="J38:J40">
    <cfRule type="expression" dxfId="162" priority="5">
      <formula>$I$38="None"</formula>
    </cfRule>
    <cfRule type="expression" dxfId="161" priority="6">
      <formula>$I$38=""</formula>
    </cfRule>
  </conditionalFormatting>
  <conditionalFormatting sqref="I59:J59">
    <cfRule type="expression" dxfId="160" priority="3">
      <formula>#REF!&lt;&gt;"Prescriptive Path"</formula>
    </cfRule>
  </conditionalFormatting>
  <conditionalFormatting sqref="I60:J61">
    <cfRule type="expression" dxfId="159" priority="1">
      <formula>$B60="/"</formula>
    </cfRule>
    <cfRule type="expression" dxfId="158" priority="2">
      <formula>$B60="No evidence required at this submission stage"</formula>
    </cfRule>
  </conditionalFormatting>
  <dataValidations count="8">
    <dataValidation type="list" allowBlank="1" showInputMessage="1" showErrorMessage="1" sqref="C38:C40" xr:uid="{00000000-0002-0000-2200-000000000000}">
      <formula1>"Select,ILVE, CLVE"</formula1>
    </dataValidation>
    <dataValidation type="list" allowBlank="1" showInputMessage="1" showErrorMessage="1" sqref="J38:J40" xr:uid="{00000000-0002-0000-2200-000001000000}">
      <formula1>"Select,Yes, No"</formula1>
    </dataValidation>
    <dataValidation type="list" allowBlank="1" showInputMessage="1" showErrorMessage="1" sqref="H60:H61" xr:uid="{00000000-0002-0000-2200-000002000000}">
      <formula1>"Select,Submitted,Not submitted"</formula1>
    </dataValidation>
    <dataValidation allowBlank="1" showInputMessage="1" showErrorMessage="1" prompt="For kitchens, with Intermittent Local Ventilation Exhaust, if the exhaust fan flow is less than 5 air changes per hour, a vented range hood is required." sqref="I37:I40" xr:uid="{00000000-0002-0000-2200-000003000000}"/>
    <dataValidation type="list" allowBlank="1" showInputMessage="1" showErrorMessage="1" sqref="D44:D53" xr:uid="{00000000-0002-0000-2200-000004000000}">
      <formula1>"Select,ILVE, CLVE, operable window"</formula1>
    </dataValidation>
    <dataValidation allowBlank="1" showInputMessage="1" showErrorMessage="1" prompt="Only fill if ventilation if from operable window" sqref="E42:F42" xr:uid="{00000000-0002-0000-2200-000005000000}"/>
    <dataValidation allowBlank="1" showInputMessage="1" showErrorMessage="1" prompt="Only if mechnical exhaust ventilation" sqref="G42:H42" xr:uid="{00000000-0002-0000-2200-000006000000}"/>
    <dataValidation type="list" allowBlank="1" showInputMessage="1" showErrorMessage="1" sqref="C44:C53" xr:uid="{00000000-0002-0000-2200-000007000000}">
      <formula1>"Select,bathroom, toilet"</formula1>
    </dataValidation>
  </dataValidations>
  <hyperlinks>
    <hyperlink ref="L2" location="'H-1 Fresh Air Supply'!B3" tooltip="H-1" display="H-1" xr:uid="{00000000-0004-0000-2200-000000000000}"/>
    <hyperlink ref="L3" location="'H-3 CO2 Monitoring'!B3" tooltip="H-3" display="H-3" xr:uid="{00000000-0004-0000-2200-000001000000}"/>
    <hyperlink ref="M3" location="'H-6 External Views'!B3" tooltip="H-6" display="H-6" xr:uid="{00000000-0004-0000-2200-000002000000}"/>
    <hyperlink ref="M4" location="'H&amp;C BPC'!D3" tooltip="BPC" display="BPC" xr:uid="{00000000-0004-0000-2200-000003000000}"/>
    <hyperlink ref="L4" location="'H-4 Low-VOC Emissions'!B3" tooltip="H-4" display="H-4" xr:uid="{00000000-0004-0000-2200-000004000000}"/>
    <hyperlink ref="M2" location="'H-5 Daylighting'!B3" tooltip="H-5" display="H-5" xr:uid="{00000000-0004-0000-2200-000005000000}"/>
  </hyperlinks>
  <pageMargins left="0.7" right="0.7" top="0.75" bottom="0.75" header="0.3" footer="0.3"/>
  <pageSetup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9">
    <tabColor rgb="FF943634"/>
  </sheetPr>
  <dimension ref="A1:O293"/>
  <sheetViews>
    <sheetView showRowColHeaders="0" workbookViewId="0">
      <pane ySplit="8" topLeftCell="A9" activePane="bottomLeft" state="frozen"/>
      <selection pane="bottomLeft" activeCell="K4" sqref="K4"/>
    </sheetView>
  </sheetViews>
  <sheetFormatPr defaultColWidth="0" defaultRowHeight="15" customHeight="1" zeroHeight="1" x14ac:dyDescent="0.25"/>
  <cols>
    <col min="1" max="1" width="5.7109375" style="38" customWidth="1"/>
    <col min="2" max="2" width="18.7109375" style="38" customWidth="1"/>
    <col min="3" max="3" width="19" style="38" customWidth="1"/>
    <col min="4" max="4" width="18.85546875" style="38" customWidth="1"/>
    <col min="5" max="5" width="19.85546875" style="38" customWidth="1"/>
    <col min="6" max="7" width="17.140625" style="38" customWidth="1"/>
    <col min="8" max="8" width="17.7109375" style="38" customWidth="1"/>
    <col min="9" max="9" width="14" style="38" customWidth="1"/>
    <col min="10" max="10" width="1.7109375" style="38" customWidth="1"/>
    <col min="11" max="12" width="8" style="38" customWidth="1"/>
    <col min="13" max="16384" width="9.140625" style="38" hidden="1"/>
  </cols>
  <sheetData>
    <row r="1" spans="1:12" ht="26.25" x14ac:dyDescent="0.25">
      <c r="A1" s="2033" t="s">
        <v>2010</v>
      </c>
      <c r="B1" s="2033"/>
      <c r="C1" s="2033"/>
      <c r="D1" s="2033"/>
      <c r="E1" s="2033"/>
      <c r="F1" s="2033"/>
      <c r="G1" s="2033"/>
      <c r="H1" s="2033"/>
      <c r="I1" s="2033"/>
      <c r="J1" s="2033"/>
      <c r="K1" s="2033"/>
      <c r="L1" s="2033"/>
    </row>
    <row r="2" spans="1:12" ht="15" customHeight="1" x14ac:dyDescent="0.25">
      <c r="A2" s="49"/>
      <c r="B2" s="50"/>
      <c r="C2" s="50"/>
      <c r="D2" s="50"/>
      <c r="E2" s="50"/>
      <c r="F2" s="283"/>
      <c r="G2" s="283"/>
      <c r="H2" s="1585" t="s">
        <v>745</v>
      </c>
      <c r="I2" s="1585"/>
      <c r="J2" s="1585"/>
      <c r="K2" s="734" t="s">
        <v>80</v>
      </c>
      <c r="L2" s="734" t="s">
        <v>729</v>
      </c>
    </row>
    <row r="3" spans="1:12" ht="15" customHeight="1" x14ac:dyDescent="0.25">
      <c r="A3" s="49"/>
      <c r="B3" s="50"/>
      <c r="C3" s="50"/>
      <c r="D3" s="50"/>
      <c r="E3" s="50"/>
      <c r="F3" s="283"/>
      <c r="G3" s="283"/>
      <c r="H3" s="1585"/>
      <c r="I3" s="1585"/>
      <c r="J3" s="1585"/>
      <c r="K3" s="734" t="s">
        <v>82</v>
      </c>
      <c r="L3" s="734" t="s">
        <v>1788</v>
      </c>
    </row>
    <row r="4" spans="1:12" ht="15" customHeight="1" x14ac:dyDescent="0.25">
      <c r="A4" s="49"/>
      <c r="B4" s="50"/>
      <c r="C4" s="50"/>
      <c r="D4" s="50"/>
      <c r="E4" s="50"/>
      <c r="F4" s="284"/>
      <c r="G4" s="284"/>
      <c r="H4" s="1586"/>
      <c r="I4" s="1586"/>
      <c r="J4" s="1586"/>
      <c r="K4" s="734" t="s">
        <v>92</v>
      </c>
      <c r="L4" s="734" t="s">
        <v>76</v>
      </c>
    </row>
    <row r="5" spans="1:12" ht="18" customHeight="1" x14ac:dyDescent="0.25">
      <c r="A5" s="1600" t="s">
        <v>2650</v>
      </c>
      <c r="B5" s="1601"/>
      <c r="C5" s="1601"/>
      <c r="D5" s="1601"/>
      <c r="E5" s="1601"/>
      <c r="F5" s="1601"/>
      <c r="G5" s="1601"/>
      <c r="H5" s="1601"/>
      <c r="I5" s="1601"/>
      <c r="J5" s="1601"/>
      <c r="K5" s="1601"/>
      <c r="L5" s="1602"/>
    </row>
    <row r="6" spans="1:12" ht="18" customHeight="1" x14ac:dyDescent="0.25">
      <c r="A6" s="1603"/>
      <c r="B6" s="1604"/>
      <c r="C6" s="1604"/>
      <c r="D6" s="1604"/>
      <c r="E6" s="1604"/>
      <c r="F6" s="1604"/>
      <c r="G6" s="1604"/>
      <c r="H6" s="1604"/>
      <c r="I6" s="1604"/>
      <c r="J6" s="1604"/>
      <c r="K6" s="1604"/>
      <c r="L6" s="1605"/>
    </row>
    <row r="7" spans="1:12" ht="18" customHeight="1" x14ac:dyDescent="0.25">
      <c r="A7" s="1606"/>
      <c r="B7" s="1607"/>
      <c r="C7" s="1607"/>
      <c r="D7" s="1607"/>
      <c r="E7" s="1607"/>
      <c r="F7" s="1607"/>
      <c r="G7" s="1607"/>
      <c r="H7" s="1607"/>
      <c r="I7" s="1607"/>
      <c r="J7" s="1607"/>
      <c r="K7" s="1607"/>
      <c r="L7" s="1608"/>
    </row>
    <row r="8" spans="1:12" ht="12" customHeight="1" x14ac:dyDescent="0.25">
      <c r="A8" s="49"/>
      <c r="B8" s="50"/>
      <c r="C8" s="50"/>
      <c r="D8" s="50"/>
      <c r="E8" s="50"/>
      <c r="F8" s="49"/>
      <c r="G8" s="49"/>
      <c r="H8" s="49"/>
      <c r="I8" s="49"/>
      <c r="J8" s="49"/>
      <c r="K8" s="49"/>
      <c r="L8" s="49"/>
    </row>
    <row r="9" spans="1:12" ht="18" customHeight="1" x14ac:dyDescent="0.25">
      <c r="A9" s="2016" t="s">
        <v>177</v>
      </c>
      <c r="B9" s="2016"/>
      <c r="C9" s="2016"/>
      <c r="D9" s="2016"/>
      <c r="E9" s="2016"/>
      <c r="F9" s="2016"/>
      <c r="G9" s="2016"/>
      <c r="H9" s="2016"/>
      <c r="I9" s="2016"/>
      <c r="J9" s="2016"/>
      <c r="K9" s="2016"/>
      <c r="L9" s="2016"/>
    </row>
    <row r="10" spans="1:12" x14ac:dyDescent="0.25">
      <c r="A10" s="49"/>
      <c r="B10" s="50"/>
      <c r="C10" s="50"/>
      <c r="D10" s="50"/>
      <c r="E10" s="50"/>
      <c r="F10" s="49"/>
      <c r="G10" s="49"/>
      <c r="H10" s="49"/>
      <c r="I10" s="49"/>
      <c r="J10" s="49"/>
      <c r="K10" s="49"/>
      <c r="L10" s="49"/>
    </row>
    <row r="11" spans="1:12" ht="18" customHeight="1" x14ac:dyDescent="0.25">
      <c r="A11" s="49"/>
      <c r="B11" s="2063" t="s">
        <v>178</v>
      </c>
      <c r="C11" s="2064"/>
      <c r="D11" s="2064"/>
      <c r="E11" s="2064"/>
      <c r="F11" s="1020" t="s">
        <v>152</v>
      </c>
      <c r="G11" s="1020" t="s">
        <v>53</v>
      </c>
      <c r="H11" s="954" t="s">
        <v>492</v>
      </c>
      <c r="I11" s="49"/>
      <c r="J11" s="49"/>
      <c r="K11" s="49"/>
      <c r="L11" s="49"/>
    </row>
    <row r="12" spans="1:12" ht="21" customHeight="1" x14ac:dyDescent="0.25">
      <c r="A12" s="49"/>
      <c r="B12" s="1791" t="s">
        <v>1837</v>
      </c>
      <c r="C12" s="1792"/>
      <c r="D12" s="1792"/>
      <c r="E12" s="1793"/>
      <c r="F12" s="955">
        <v>1</v>
      </c>
      <c r="G12" s="955">
        <f>C56</f>
        <v>0</v>
      </c>
      <c r="H12" s="955" t="str">
        <f>C57</f>
        <v>No</v>
      </c>
      <c r="I12" s="49"/>
      <c r="J12" s="49"/>
      <c r="K12" s="49"/>
      <c r="L12" s="49"/>
    </row>
    <row r="13" spans="1:12" ht="18" customHeight="1" x14ac:dyDescent="0.25">
      <c r="A13" s="49"/>
      <c r="B13" s="50"/>
      <c r="C13" s="50"/>
      <c r="D13" s="50"/>
      <c r="E13" s="50"/>
      <c r="F13" s="49"/>
      <c r="G13" s="49"/>
      <c r="H13" s="49"/>
      <c r="I13" s="49"/>
      <c r="J13" s="49"/>
      <c r="K13" s="49"/>
      <c r="L13" s="49"/>
    </row>
    <row r="14" spans="1:12" ht="18" customHeight="1" x14ac:dyDescent="0.25">
      <c r="A14" s="2016" t="s">
        <v>245</v>
      </c>
      <c r="B14" s="2016"/>
      <c r="C14" s="2016"/>
      <c r="D14" s="2016"/>
      <c r="E14" s="2016"/>
      <c r="F14" s="2016"/>
      <c r="G14" s="2016"/>
      <c r="H14" s="2016"/>
      <c r="I14" s="2016"/>
      <c r="J14" s="2016"/>
      <c r="K14" s="2016"/>
      <c r="L14" s="2016"/>
    </row>
    <row r="15" spans="1:12" x14ac:dyDescent="0.25">
      <c r="A15" s="49"/>
      <c r="B15" s="49"/>
      <c r="C15" s="49"/>
      <c r="D15" s="49"/>
      <c r="E15" s="49"/>
      <c r="F15" s="49"/>
      <c r="G15" s="49"/>
      <c r="H15" s="49"/>
      <c r="I15" s="49"/>
      <c r="J15" s="49"/>
      <c r="K15" s="49"/>
      <c r="L15" s="49"/>
    </row>
    <row r="16" spans="1:12" x14ac:dyDescent="0.25">
      <c r="A16" s="49"/>
      <c r="B16" s="641" t="s">
        <v>1836</v>
      </c>
      <c r="C16" s="50"/>
      <c r="D16" s="50"/>
      <c r="E16" s="49"/>
      <c r="F16" s="49"/>
      <c r="G16" s="49"/>
      <c r="H16" s="49"/>
      <c r="I16" s="49"/>
      <c r="J16" s="49"/>
      <c r="K16" s="49"/>
      <c r="L16" s="49"/>
    </row>
    <row r="17" spans="1:14" x14ac:dyDescent="0.25">
      <c r="A17" s="49"/>
      <c r="B17" s="50"/>
      <c r="C17" s="50"/>
      <c r="D17" s="50"/>
      <c r="E17" s="49"/>
      <c r="F17" s="49"/>
      <c r="G17" s="49"/>
      <c r="H17" s="49"/>
      <c r="I17" s="49"/>
      <c r="J17" s="49"/>
      <c r="K17" s="49"/>
      <c r="L17" s="49"/>
    </row>
    <row r="18" spans="1:14" ht="15.75" x14ac:dyDescent="0.3">
      <c r="A18" s="49"/>
      <c r="B18" s="627" t="s">
        <v>1838</v>
      </c>
      <c r="C18" s="623"/>
      <c r="D18" s="623"/>
      <c r="E18" s="623"/>
      <c r="F18" s="623"/>
      <c r="G18" s="623"/>
      <c r="H18" s="623"/>
      <c r="I18" s="623"/>
      <c r="J18" s="624"/>
      <c r="K18" s="49"/>
      <c r="L18" s="49"/>
    </row>
    <row r="19" spans="1:14" ht="6" customHeight="1" x14ac:dyDescent="0.25">
      <c r="A19" s="49"/>
      <c r="B19" s="1022"/>
      <c r="C19" s="987"/>
      <c r="D19" s="987"/>
      <c r="E19" s="987"/>
      <c r="F19" s="987"/>
      <c r="G19" s="987"/>
      <c r="H19" s="987"/>
      <c r="I19" s="987"/>
      <c r="J19" s="988"/>
      <c r="K19" s="49"/>
      <c r="L19" s="49"/>
    </row>
    <row r="20" spans="1:14" ht="15.75" x14ac:dyDescent="0.3">
      <c r="A20" s="49"/>
      <c r="B20" s="1022" t="s">
        <v>1839</v>
      </c>
      <c r="C20" s="1049"/>
      <c r="D20" s="1049"/>
      <c r="E20" s="1049"/>
      <c r="F20" s="1049"/>
      <c r="G20" s="1049"/>
      <c r="H20" s="1049"/>
      <c r="I20" s="1049"/>
      <c r="J20" s="1050"/>
      <c r="K20" s="49"/>
      <c r="L20" s="49"/>
    </row>
    <row r="21" spans="1:14" ht="15.75" x14ac:dyDescent="0.25">
      <c r="A21" s="49"/>
      <c r="B21" s="1051" t="s">
        <v>1840</v>
      </c>
      <c r="C21" s="1052"/>
      <c r="D21" s="1052"/>
      <c r="E21" s="1052"/>
      <c r="F21" s="1052"/>
      <c r="G21" s="1052"/>
      <c r="H21" s="1052"/>
      <c r="I21" s="1052"/>
      <c r="J21" s="1053"/>
      <c r="K21" s="49"/>
      <c r="L21" s="49"/>
    </row>
    <row r="22" spans="1:14" ht="78.75" customHeight="1" x14ac:dyDescent="0.25">
      <c r="A22" s="49"/>
      <c r="B22" s="2060" t="s">
        <v>1841</v>
      </c>
      <c r="C22" s="2061"/>
      <c r="D22" s="2061"/>
      <c r="E22" s="2061"/>
      <c r="F22" s="2061"/>
      <c r="G22" s="2061"/>
      <c r="H22" s="2061"/>
      <c r="I22" s="2061"/>
      <c r="J22" s="2062"/>
      <c r="K22" s="49"/>
      <c r="L22" s="49"/>
    </row>
    <row r="23" spans="1:14" ht="6" customHeight="1" x14ac:dyDescent="0.25">
      <c r="A23" s="49"/>
      <c r="B23" s="1054"/>
      <c r="C23" s="1055"/>
      <c r="D23" s="1055"/>
      <c r="E23" s="1055"/>
      <c r="F23" s="1055"/>
      <c r="G23" s="1055"/>
      <c r="H23" s="1055"/>
      <c r="I23" s="1055"/>
      <c r="J23" s="1056"/>
      <c r="K23" s="49"/>
      <c r="L23" s="49"/>
    </row>
    <row r="24" spans="1:14" ht="15.75" x14ac:dyDescent="0.3">
      <c r="A24" s="49"/>
      <c r="B24" s="1022" t="s">
        <v>1842</v>
      </c>
      <c r="C24" s="1055"/>
      <c r="D24" s="1055"/>
      <c r="E24" s="1055"/>
      <c r="F24" s="1055"/>
      <c r="G24" s="1055"/>
      <c r="H24" s="1055"/>
      <c r="I24" s="1055"/>
      <c r="J24" s="1056"/>
      <c r="K24" s="49"/>
      <c r="L24" s="49"/>
    </row>
    <row r="25" spans="1:14" x14ac:dyDescent="0.25">
      <c r="A25" s="49"/>
      <c r="B25" s="1030" t="s">
        <v>1843</v>
      </c>
      <c r="C25" s="1057"/>
      <c r="D25" s="1057"/>
      <c r="E25" s="1057"/>
      <c r="F25" s="1057"/>
      <c r="G25" s="1057"/>
      <c r="H25" s="1057"/>
      <c r="I25" s="1057"/>
      <c r="J25" s="1058"/>
      <c r="K25" s="49"/>
      <c r="L25" s="49"/>
    </row>
    <row r="26" spans="1:14" x14ac:dyDescent="0.25">
      <c r="A26" s="49"/>
      <c r="B26" s="49"/>
      <c r="C26" s="49"/>
      <c r="D26" s="49"/>
      <c r="E26" s="49"/>
      <c r="F26" s="49"/>
      <c r="G26" s="49"/>
      <c r="H26" s="49"/>
      <c r="I26" s="49"/>
      <c r="J26" s="49"/>
      <c r="K26" s="49"/>
      <c r="L26" s="49"/>
    </row>
    <row r="27" spans="1:14" x14ac:dyDescent="0.25">
      <c r="A27" s="49"/>
      <c r="B27" s="1597" t="s">
        <v>1844</v>
      </c>
      <c r="C27" s="1597"/>
      <c r="D27" s="1597"/>
      <c r="E27" s="1597"/>
      <c r="F27" s="1597"/>
      <c r="G27" s="1597"/>
      <c r="H27" s="1597"/>
      <c r="I27" s="1597"/>
      <c r="J27" s="49"/>
      <c r="K27" s="49"/>
      <c r="L27" s="49"/>
    </row>
    <row r="28" spans="1:14" ht="10.5" customHeight="1" x14ac:dyDescent="0.25">
      <c r="A28" s="49"/>
      <c r="B28" s="1059"/>
      <c r="C28" s="1059"/>
      <c r="D28" s="1059"/>
      <c r="E28" s="1059"/>
      <c r="F28" s="1059"/>
      <c r="G28" s="1059"/>
      <c r="H28" s="1059"/>
      <c r="I28" s="1059"/>
      <c r="J28" s="49"/>
      <c r="K28" s="49"/>
      <c r="L28" s="49"/>
    </row>
    <row r="29" spans="1:14" ht="36.75" customHeight="1" x14ac:dyDescent="0.25">
      <c r="A29" s="49"/>
      <c r="B29" s="1060" t="s">
        <v>1845</v>
      </c>
      <c r="C29" s="405" t="s">
        <v>40</v>
      </c>
      <c r="D29" s="405" t="s">
        <v>1846</v>
      </c>
      <c r="E29" s="405" t="s">
        <v>1847</v>
      </c>
      <c r="F29" s="2046" t="s">
        <v>1848</v>
      </c>
      <c r="G29" s="2046"/>
      <c r="H29" s="405" t="s">
        <v>1849</v>
      </c>
      <c r="I29" s="405" t="s">
        <v>1850</v>
      </c>
      <c r="J29" s="49"/>
      <c r="K29" s="49"/>
      <c r="L29" s="49"/>
    </row>
    <row r="30" spans="1:14" ht="15" customHeight="1" x14ac:dyDescent="0.25">
      <c r="A30" s="49"/>
      <c r="B30" s="982"/>
      <c r="C30" s="982"/>
      <c r="D30" s="459"/>
      <c r="E30" s="459"/>
      <c r="F30" s="1637" t="s">
        <v>124</v>
      </c>
      <c r="G30" s="1637"/>
      <c r="H30" s="982" t="s">
        <v>124</v>
      </c>
      <c r="I30" s="982"/>
      <c r="J30" s="49"/>
      <c r="K30" s="49"/>
      <c r="L30" s="49"/>
      <c r="N30" s="1061" t="str">
        <f>IFERROR(IF(C30/D30&lt;=3,IF(AND(E30&gt;=1,F30&lt;&gt;"",F30&lt;&gt;"Select",H30&lt;&gt;"",H30&lt;&gt;"Select",I30&lt;&gt;""),"Yes","No"),IF(AND(E30&gt;=1,F30&lt;&gt;"",F30&lt;&gt;"Select",H30&lt;&gt;"",H30&lt;&gt;"Select",I30&lt;&gt;""),"Yes","")),"")</f>
        <v/>
      </c>
    </row>
    <row r="31" spans="1:14" x14ac:dyDescent="0.25">
      <c r="A31" s="49"/>
      <c r="B31" s="982"/>
      <c r="C31" s="982"/>
      <c r="D31" s="459"/>
      <c r="E31" s="459"/>
      <c r="F31" s="1637" t="s">
        <v>124</v>
      </c>
      <c r="G31" s="1637"/>
      <c r="H31" s="982" t="s">
        <v>124</v>
      </c>
      <c r="I31" s="982"/>
      <c r="J31" s="49"/>
      <c r="K31" s="49"/>
      <c r="L31" s="49"/>
      <c r="N31" s="1061" t="str">
        <f t="shared" ref="N31:N44" si="0">IFERROR(IF(C31/D31&lt;=3,IF(AND(E31&gt;=1,F31&lt;&gt;"",F31&lt;&gt;"Select",H31&lt;&gt;"",H31&lt;&gt;"Select",I31&lt;&gt;""),"Yes","No"),IF(AND(E31&gt;=1,F31&lt;&gt;"",F31&lt;&gt;"Select",H31&lt;&gt;"",H31&lt;&gt;"Select",I31&lt;&gt;""),"Yes","")),"")</f>
        <v/>
      </c>
    </row>
    <row r="32" spans="1:14" x14ac:dyDescent="0.25">
      <c r="A32" s="49"/>
      <c r="B32" s="982"/>
      <c r="C32" s="982"/>
      <c r="D32" s="459"/>
      <c r="E32" s="459"/>
      <c r="F32" s="1637" t="s">
        <v>124</v>
      </c>
      <c r="G32" s="1637"/>
      <c r="H32" s="982" t="s">
        <v>124</v>
      </c>
      <c r="I32" s="982"/>
      <c r="J32" s="49"/>
      <c r="K32" s="49"/>
      <c r="L32" s="49"/>
      <c r="N32" s="1061" t="str">
        <f t="shared" si="0"/>
        <v/>
      </c>
    </row>
    <row r="33" spans="1:14" x14ac:dyDescent="0.25">
      <c r="A33" s="49"/>
      <c r="B33" s="982"/>
      <c r="C33" s="982"/>
      <c r="D33" s="459"/>
      <c r="E33" s="459"/>
      <c r="F33" s="1637" t="s">
        <v>124</v>
      </c>
      <c r="G33" s="1637"/>
      <c r="H33" s="982" t="s">
        <v>124</v>
      </c>
      <c r="I33" s="982"/>
      <c r="J33" s="49"/>
      <c r="K33" s="49"/>
      <c r="L33" s="49"/>
      <c r="N33" s="1061" t="str">
        <f t="shared" si="0"/>
        <v/>
      </c>
    </row>
    <row r="34" spans="1:14" x14ac:dyDescent="0.25">
      <c r="A34" s="49"/>
      <c r="B34" s="982"/>
      <c r="C34" s="982"/>
      <c r="D34" s="459"/>
      <c r="E34" s="459"/>
      <c r="F34" s="1637" t="s">
        <v>124</v>
      </c>
      <c r="G34" s="1637"/>
      <c r="H34" s="982" t="s">
        <v>124</v>
      </c>
      <c r="I34" s="982"/>
      <c r="J34" s="49"/>
      <c r="K34" s="49"/>
      <c r="L34" s="49"/>
      <c r="N34" s="1061" t="str">
        <f t="shared" si="0"/>
        <v/>
      </c>
    </row>
    <row r="35" spans="1:14" x14ac:dyDescent="0.25">
      <c r="A35" s="49"/>
      <c r="B35" s="982"/>
      <c r="C35" s="982"/>
      <c r="D35" s="459"/>
      <c r="E35" s="459"/>
      <c r="F35" s="1637" t="s">
        <v>124</v>
      </c>
      <c r="G35" s="1637"/>
      <c r="H35" s="982" t="s">
        <v>124</v>
      </c>
      <c r="I35" s="982"/>
      <c r="J35" s="49"/>
      <c r="K35" s="49"/>
      <c r="L35" s="49"/>
      <c r="N35" s="1061" t="str">
        <f t="shared" si="0"/>
        <v/>
      </c>
    </row>
    <row r="36" spans="1:14" x14ac:dyDescent="0.25">
      <c r="A36" s="49"/>
      <c r="B36" s="982"/>
      <c r="C36" s="982"/>
      <c r="D36" s="459"/>
      <c r="E36" s="459"/>
      <c r="F36" s="1637" t="s">
        <v>124</v>
      </c>
      <c r="G36" s="1637"/>
      <c r="H36" s="982" t="s">
        <v>124</v>
      </c>
      <c r="I36" s="982"/>
      <c r="J36" s="49"/>
      <c r="K36" s="49"/>
      <c r="L36" s="49"/>
      <c r="N36" s="1061" t="str">
        <f t="shared" si="0"/>
        <v/>
      </c>
    </row>
    <row r="37" spans="1:14" x14ac:dyDescent="0.25">
      <c r="A37" s="49"/>
      <c r="B37" s="982"/>
      <c r="C37" s="982"/>
      <c r="D37" s="459"/>
      <c r="E37" s="459"/>
      <c r="F37" s="1637" t="s">
        <v>124</v>
      </c>
      <c r="G37" s="1637"/>
      <c r="H37" s="982" t="s">
        <v>124</v>
      </c>
      <c r="I37" s="982"/>
      <c r="J37" s="49"/>
      <c r="K37" s="49"/>
      <c r="L37" s="49"/>
      <c r="N37" s="1061" t="str">
        <f t="shared" si="0"/>
        <v/>
      </c>
    </row>
    <row r="38" spans="1:14" x14ac:dyDescent="0.25">
      <c r="A38" s="49"/>
      <c r="B38" s="982"/>
      <c r="C38" s="982"/>
      <c r="D38" s="459"/>
      <c r="E38" s="459"/>
      <c r="F38" s="1637" t="s">
        <v>124</v>
      </c>
      <c r="G38" s="1637"/>
      <c r="H38" s="982" t="s">
        <v>124</v>
      </c>
      <c r="I38" s="982"/>
      <c r="J38" s="49"/>
      <c r="K38" s="49"/>
      <c r="L38" s="49"/>
      <c r="N38" s="1061" t="str">
        <f t="shared" si="0"/>
        <v/>
      </c>
    </row>
    <row r="39" spans="1:14" x14ac:dyDescent="0.25">
      <c r="A39" s="49"/>
      <c r="B39" s="982"/>
      <c r="C39" s="982"/>
      <c r="D39" s="459"/>
      <c r="E39" s="459"/>
      <c r="F39" s="1637" t="s">
        <v>124</v>
      </c>
      <c r="G39" s="1637"/>
      <c r="H39" s="982" t="s">
        <v>124</v>
      </c>
      <c r="I39" s="982"/>
      <c r="J39" s="49"/>
      <c r="K39" s="49"/>
      <c r="L39" s="49"/>
      <c r="N39" s="1061" t="str">
        <f t="shared" si="0"/>
        <v/>
      </c>
    </row>
    <row r="40" spans="1:14" x14ac:dyDescent="0.25">
      <c r="A40" s="49"/>
      <c r="B40" s="982"/>
      <c r="C40" s="982"/>
      <c r="D40" s="459"/>
      <c r="E40" s="459"/>
      <c r="F40" s="1637" t="s">
        <v>124</v>
      </c>
      <c r="G40" s="1637"/>
      <c r="H40" s="982" t="s">
        <v>124</v>
      </c>
      <c r="I40" s="982"/>
      <c r="J40" s="49"/>
      <c r="K40" s="49"/>
      <c r="L40" s="49"/>
      <c r="N40" s="1061" t="str">
        <f t="shared" si="0"/>
        <v/>
      </c>
    </row>
    <row r="41" spans="1:14" x14ac:dyDescent="0.25">
      <c r="A41" s="49"/>
      <c r="B41" s="982"/>
      <c r="C41" s="982"/>
      <c r="D41" s="459"/>
      <c r="E41" s="459"/>
      <c r="F41" s="1637" t="s">
        <v>124</v>
      </c>
      <c r="G41" s="1637"/>
      <c r="H41" s="982" t="s">
        <v>124</v>
      </c>
      <c r="I41" s="982"/>
      <c r="J41" s="49"/>
      <c r="K41" s="49"/>
      <c r="L41" s="49"/>
      <c r="N41" s="1061" t="str">
        <f t="shared" si="0"/>
        <v/>
      </c>
    </row>
    <row r="42" spans="1:14" x14ac:dyDescent="0.25">
      <c r="A42" s="49"/>
      <c r="B42" s="982"/>
      <c r="C42" s="982"/>
      <c r="D42" s="459"/>
      <c r="E42" s="459"/>
      <c r="F42" s="1637" t="s">
        <v>124</v>
      </c>
      <c r="G42" s="1637"/>
      <c r="H42" s="982" t="s">
        <v>124</v>
      </c>
      <c r="I42" s="982"/>
      <c r="J42" s="49"/>
      <c r="K42" s="49"/>
      <c r="L42" s="49"/>
      <c r="N42" s="1061" t="str">
        <f t="shared" si="0"/>
        <v/>
      </c>
    </row>
    <row r="43" spans="1:14" x14ac:dyDescent="0.25">
      <c r="A43" s="49"/>
      <c r="B43" s="982"/>
      <c r="C43" s="982"/>
      <c r="D43" s="459"/>
      <c r="E43" s="459"/>
      <c r="F43" s="1763" t="s">
        <v>124</v>
      </c>
      <c r="G43" s="1841"/>
      <c r="H43" s="982" t="s">
        <v>124</v>
      </c>
      <c r="I43" s="983"/>
      <c r="J43" s="49"/>
      <c r="K43" s="49"/>
      <c r="L43" s="49"/>
      <c r="N43" s="1061" t="str">
        <f t="shared" si="0"/>
        <v/>
      </c>
    </row>
    <row r="44" spans="1:14" ht="16.5" customHeight="1" x14ac:dyDescent="0.25">
      <c r="A44" s="49"/>
      <c r="B44" s="982"/>
      <c r="C44" s="982"/>
      <c r="D44" s="459"/>
      <c r="E44" s="459"/>
      <c r="F44" s="1637" t="s">
        <v>124</v>
      </c>
      <c r="G44" s="1637"/>
      <c r="H44" s="982" t="s">
        <v>124</v>
      </c>
      <c r="I44" s="982"/>
      <c r="J44" s="49"/>
      <c r="K44" s="49"/>
      <c r="L44" s="49"/>
      <c r="N44" s="1061" t="str">
        <f t="shared" si="0"/>
        <v/>
      </c>
    </row>
    <row r="45" spans="1:14" ht="13.5" customHeight="1" x14ac:dyDescent="0.25">
      <c r="A45" s="50"/>
      <c r="B45" s="479"/>
      <c r="C45" s="469"/>
      <c r="D45" s="469"/>
      <c r="E45" s="469"/>
      <c r="F45" s="469"/>
      <c r="G45" s="469"/>
      <c r="H45" s="469"/>
      <c r="I45" s="469"/>
      <c r="J45" s="49"/>
      <c r="K45" s="49"/>
      <c r="L45" s="49"/>
    </row>
    <row r="46" spans="1:14" ht="19.5" customHeight="1" x14ac:dyDescent="0.25">
      <c r="A46" s="50"/>
      <c r="B46" s="2039" t="s">
        <v>1851</v>
      </c>
      <c r="C46" s="2039"/>
      <c r="D46" s="79" t="str">
        <f>IF(AND(COUNTIF(N30:N44,"No")=0,COUNTIF(N30:N44,"Yes")&gt;=1),"Yes","No")</f>
        <v>No</v>
      </c>
      <c r="E46" s="49"/>
      <c r="F46" s="49"/>
      <c r="G46" s="49"/>
      <c r="H46" s="49"/>
      <c r="I46" s="49"/>
      <c r="J46" s="50"/>
      <c r="K46" s="50"/>
      <c r="L46" s="50"/>
    </row>
    <row r="47" spans="1:14" ht="19.5" customHeight="1" x14ac:dyDescent="0.25">
      <c r="A47" s="50"/>
      <c r="B47" s="50"/>
      <c r="C47" s="50"/>
      <c r="D47" s="50"/>
      <c r="E47" s="50"/>
      <c r="F47" s="50"/>
      <c r="G47" s="49"/>
      <c r="H47" s="49"/>
      <c r="I47" s="49"/>
      <c r="J47" s="50"/>
      <c r="K47" s="50"/>
      <c r="L47" s="50"/>
    </row>
    <row r="48" spans="1:14" ht="17.25" customHeight="1" x14ac:dyDescent="0.25">
      <c r="A48" s="2016" t="s">
        <v>186</v>
      </c>
      <c r="B48" s="2016"/>
      <c r="C48" s="2016"/>
      <c r="D48" s="2016"/>
      <c r="E48" s="2016"/>
      <c r="F48" s="2016"/>
      <c r="G48" s="2016"/>
      <c r="H48" s="2016"/>
      <c r="I48" s="2016"/>
      <c r="J48" s="2016"/>
      <c r="K48" s="2016"/>
      <c r="L48" s="2016"/>
    </row>
    <row r="49" spans="1:15" ht="18" customHeight="1" x14ac:dyDescent="0.25">
      <c r="A49" s="50"/>
      <c r="B49" s="50"/>
      <c r="C49" s="50"/>
      <c r="D49" s="50"/>
      <c r="E49" s="50"/>
      <c r="F49" s="50"/>
      <c r="G49" s="50"/>
      <c r="H49" s="50"/>
      <c r="I49" s="50"/>
      <c r="J49" s="50"/>
      <c r="K49" s="50"/>
      <c r="L49" s="50"/>
    </row>
    <row r="50" spans="1:15" ht="18" customHeight="1" x14ac:dyDescent="0.25">
      <c r="A50" s="50"/>
      <c r="B50" s="2035" t="s">
        <v>190</v>
      </c>
      <c r="C50" s="2036"/>
      <c r="D50" s="2036"/>
      <c r="E50" s="2036"/>
      <c r="F50" s="401" t="s">
        <v>1737</v>
      </c>
      <c r="G50" s="2030" t="s">
        <v>1738</v>
      </c>
      <c r="H50" s="2031"/>
      <c r="I50" s="50"/>
      <c r="J50" s="50"/>
      <c r="K50" s="50"/>
      <c r="L50" s="50"/>
    </row>
    <row r="51" spans="1:15" ht="27.75" customHeight="1" x14ac:dyDescent="0.25">
      <c r="A51" s="50"/>
      <c r="B51" s="1576" t="s">
        <v>1853</v>
      </c>
      <c r="C51" s="1577"/>
      <c r="D51" s="1577"/>
      <c r="E51" s="1577"/>
      <c r="F51" s="950" t="s">
        <v>124</v>
      </c>
      <c r="G51" s="1763"/>
      <c r="H51" s="1841"/>
      <c r="I51" s="50"/>
      <c r="J51" s="50"/>
      <c r="K51" s="50"/>
      <c r="L51" s="50"/>
    </row>
    <row r="52" spans="1:15" ht="27.75" customHeight="1" x14ac:dyDescent="0.25">
      <c r="A52" s="50"/>
      <c r="B52" s="1576" t="s">
        <v>1852</v>
      </c>
      <c r="C52" s="1577"/>
      <c r="D52" s="1577"/>
      <c r="E52" s="1577"/>
      <c r="F52" s="950" t="s">
        <v>124</v>
      </c>
      <c r="G52" s="1763"/>
      <c r="H52" s="1841"/>
      <c r="I52" s="50"/>
      <c r="J52" s="50"/>
      <c r="K52" s="50"/>
      <c r="L52" s="50"/>
    </row>
    <row r="53" spans="1:15" s="607" customFormat="1" ht="19.5" customHeight="1" x14ac:dyDescent="0.25">
      <c r="A53" s="50"/>
      <c r="B53" s="50"/>
      <c r="C53" s="50"/>
      <c r="D53" s="50"/>
      <c r="E53" s="50"/>
      <c r="F53" s="50"/>
      <c r="G53" s="50"/>
      <c r="H53" s="50"/>
      <c r="I53" s="50"/>
      <c r="J53" s="50"/>
      <c r="K53" s="50"/>
      <c r="L53" s="50"/>
      <c r="M53" s="50"/>
      <c r="N53" s="50"/>
    </row>
    <row r="54" spans="1:15" ht="17.25" customHeight="1" x14ac:dyDescent="0.25">
      <c r="A54" s="2016" t="s">
        <v>22</v>
      </c>
      <c r="B54" s="2016"/>
      <c r="C54" s="2016"/>
      <c r="D54" s="2016"/>
      <c r="E54" s="2016"/>
      <c r="F54" s="2016"/>
      <c r="G54" s="2016"/>
      <c r="H54" s="2016"/>
      <c r="I54" s="2016"/>
      <c r="J54" s="2016"/>
      <c r="K54" s="2016"/>
      <c r="L54" s="2016"/>
      <c r="M54"/>
      <c r="N54"/>
      <c r="O54"/>
    </row>
    <row r="55" spans="1:15" x14ac:dyDescent="0.25">
      <c r="A55" s="50"/>
      <c r="B55" s="50"/>
      <c r="C55" s="50"/>
      <c r="D55" s="50"/>
      <c r="E55" s="50"/>
      <c r="F55" s="50"/>
      <c r="G55" s="50"/>
      <c r="H55" s="50"/>
      <c r="I55" s="50"/>
      <c r="J55" s="50"/>
      <c r="K55" s="50"/>
      <c r="L55" s="50"/>
      <c r="M55"/>
      <c r="N55"/>
      <c r="O55"/>
    </row>
    <row r="56" spans="1:15" ht="18" customHeight="1" x14ac:dyDescent="0.25">
      <c r="A56" s="50"/>
      <c r="B56" s="243" t="s">
        <v>53</v>
      </c>
      <c r="C56" s="1335">
        <f>IF(D46="Yes",1,0)</f>
        <v>0</v>
      </c>
      <c r="D56" s="50"/>
      <c r="E56" s="50"/>
      <c r="F56" s="50"/>
      <c r="G56" s="50"/>
      <c r="H56" s="50"/>
      <c r="I56" s="50"/>
      <c r="J56" s="50"/>
      <c r="K56" s="50"/>
      <c r="L56" s="50"/>
      <c r="M56"/>
      <c r="N56"/>
      <c r="O56"/>
    </row>
    <row r="57" spans="1:15" ht="18" customHeight="1" x14ac:dyDescent="0.25">
      <c r="A57" s="50"/>
      <c r="B57" s="244" t="s">
        <v>492</v>
      </c>
      <c r="C57" s="1335" t="str">
        <f>IF(AND(COUNTIF(F51:F52,"Submitted")=2,C56&gt;0),"Yes","No")</f>
        <v>No</v>
      </c>
      <c r="D57" s="50"/>
      <c r="E57" s="50"/>
      <c r="F57" s="50"/>
      <c r="G57" s="50"/>
      <c r="H57" s="50"/>
      <c r="I57" s="50"/>
      <c r="J57" s="50"/>
      <c r="K57" s="50"/>
      <c r="L57" s="50"/>
      <c r="M57"/>
      <c r="N57"/>
      <c r="O57"/>
    </row>
    <row r="58" spans="1:15" ht="21" customHeight="1" x14ac:dyDescent="0.25">
      <c r="A58" s="50"/>
      <c r="B58" s="50"/>
      <c r="C58" s="50"/>
      <c r="D58" s="50"/>
      <c r="E58" s="50"/>
      <c r="F58" s="50"/>
      <c r="G58" s="50"/>
      <c r="H58" s="50"/>
      <c r="I58" s="50"/>
      <c r="J58" s="50"/>
      <c r="K58" s="50"/>
      <c r="L58" s="50"/>
      <c r="M58"/>
      <c r="N58"/>
      <c r="O58"/>
    </row>
    <row r="59" spans="1:15" ht="15" hidden="1" customHeight="1" x14ac:dyDescent="0.25"/>
    <row r="60" spans="1:15" ht="15" hidden="1" customHeight="1" x14ac:dyDescent="0.25"/>
    <row r="61" spans="1:15" ht="15" hidden="1" customHeight="1" x14ac:dyDescent="0.25"/>
    <row r="62" spans="1:15" ht="15" hidden="1" customHeight="1" x14ac:dyDescent="0.25"/>
    <row r="63" spans="1:15" ht="15" hidden="1" customHeight="1" x14ac:dyDescent="0.25"/>
    <row r="64" spans="1:15"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sheetData>
  <sheetProtection algorithmName="SHA-512" hashValue="goa+Yr9FkrkLqLbdKmAVz0KS9kzAoZ/JTJ13I8lMXuBDCZwPXwShcOwGmXI3HznXMoVNaAVZ+YE2+WXhjRYSyg==" saltValue="kkIKDZ4G+5WXC/qyeOXeZA==" spinCount="100000" sheet="1" objects="1" scenarios="1"/>
  <mergeCells count="34">
    <mergeCell ref="B12:E12"/>
    <mergeCell ref="B22:J22"/>
    <mergeCell ref="B27:I27"/>
    <mergeCell ref="A1:L1"/>
    <mergeCell ref="H2:J4"/>
    <mergeCell ref="A5:L7"/>
    <mergeCell ref="A9:L9"/>
    <mergeCell ref="B11:E11"/>
    <mergeCell ref="A14:L14"/>
    <mergeCell ref="F29:G29"/>
    <mergeCell ref="F30:G30"/>
    <mergeCell ref="F31:G31"/>
    <mergeCell ref="F32:G32"/>
    <mergeCell ref="F33:G33"/>
    <mergeCell ref="F34:G34"/>
    <mergeCell ref="F35:G35"/>
    <mergeCell ref="F36:G36"/>
    <mergeCell ref="F37:G37"/>
    <mergeCell ref="B52:E52"/>
    <mergeCell ref="G52:H52"/>
    <mergeCell ref="F43:G43"/>
    <mergeCell ref="F44:G44"/>
    <mergeCell ref="B46:C46"/>
    <mergeCell ref="F38:G38"/>
    <mergeCell ref="F39:G39"/>
    <mergeCell ref="F40:G40"/>
    <mergeCell ref="F41:G41"/>
    <mergeCell ref="F42:G42"/>
    <mergeCell ref="A54:L54"/>
    <mergeCell ref="A48:L48"/>
    <mergeCell ref="B50:E50"/>
    <mergeCell ref="G50:H50"/>
    <mergeCell ref="B51:E51"/>
    <mergeCell ref="G51:H51"/>
  </mergeCells>
  <conditionalFormatting sqref="F51:H52">
    <cfRule type="expression" dxfId="157" priority="2">
      <formula>$B51="/"</formula>
    </cfRule>
    <cfRule type="expression" dxfId="156" priority="3">
      <formula>$B51="No evidence required at this submission stage"</formula>
    </cfRule>
  </conditionalFormatting>
  <conditionalFormatting sqref="B51">
    <cfRule type="expression" dxfId="155" priority="1">
      <formula>#REF!&lt;&gt;"Prescriptive Path"</formula>
    </cfRule>
  </conditionalFormatting>
  <dataValidations count="4">
    <dataValidation type="list" allowBlank="1" showInputMessage="1" showErrorMessage="1" sqref="F51:F52" xr:uid="{00000000-0002-0000-2300-000000000000}">
      <formula1>"Select,Submitted,Not submitted"</formula1>
    </dataValidation>
    <dataValidation allowBlank="1" showInputMessage="1" showErrorMessage="1" prompt="CO2 concentration value set at which:_x000a_- fresh air supply is increased by the building automation system_x000a_- or an alarm is generated" sqref="I29:I44" xr:uid="{00000000-0002-0000-2300-000001000000}"/>
    <dataValidation type="list" allowBlank="1" showInputMessage="1" showErrorMessage="1" prompt="Select the CO2 monitoring technique applied (cf. above description)" sqref="H29:H44" xr:uid="{00000000-0002-0000-2300-000002000000}">
      <formula1>"Select,Technique 1, Technique 2"</formula1>
    </dataValidation>
    <dataValidation type="list" allowBlank="1" showInputMessage="1" showErrorMessage="1" sqref="F30:G44" xr:uid="{00000000-0002-0000-2300-000003000000}">
      <formula1>"Select,Breathing zone, Mounted in return air ducts"</formula1>
    </dataValidation>
  </dataValidations>
  <hyperlinks>
    <hyperlink ref="K3" location="'H-2 Ventilation in wet areas'!E3" tooltip="H-2" display="H-2" xr:uid="{00000000-0004-0000-2300-000000000000}"/>
    <hyperlink ref="K2" location="'H-1 Fresh Air Supply'!B3" tooltip="H-1" display="H-1" xr:uid="{00000000-0004-0000-2300-000001000000}"/>
    <hyperlink ref="L3" location="'H-6 External Views'!B3" tooltip="H-6" display="H-6" xr:uid="{00000000-0004-0000-2300-000002000000}"/>
    <hyperlink ref="L4" location="'H&amp;C BPC'!D3" tooltip="BPC" display="BPC" xr:uid="{00000000-0004-0000-2300-000003000000}"/>
    <hyperlink ref="L2" location="'H-5 Daylighting'!B3" tooltip="H-5" display="H-5" xr:uid="{00000000-0004-0000-2300-000004000000}"/>
    <hyperlink ref="K4" location="'H-4 Low-VOC Emissions'!B3" tooltip="H-4" display="H-4" xr:uid="{00000000-0004-0000-2300-000005000000}"/>
  </hyperlinks>
  <pageMargins left="0.7" right="0.7" top="0.75" bottom="0.75" header="0.3" footer="0.3"/>
  <pageSetup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rgb="FF943634"/>
  </sheetPr>
  <dimension ref="A1:O223"/>
  <sheetViews>
    <sheetView showRowColHeaders="0" workbookViewId="0">
      <pane ySplit="8" topLeftCell="A9" activePane="bottomLeft" state="frozen"/>
      <selection pane="bottomLeft" activeCell="A9" sqref="A9:L9"/>
    </sheetView>
  </sheetViews>
  <sheetFormatPr defaultColWidth="0" defaultRowHeight="15" customHeight="1" zeroHeight="1" x14ac:dyDescent="0.25"/>
  <cols>
    <col min="1" max="1" width="4.42578125" style="38" customWidth="1"/>
    <col min="2" max="3" width="18.28515625" style="38" customWidth="1"/>
    <col min="4" max="6" width="18.42578125" style="38" customWidth="1"/>
    <col min="7" max="7" width="19.42578125" style="38" customWidth="1"/>
    <col min="8" max="8" width="22.140625" style="38" customWidth="1"/>
    <col min="9" max="9" width="12.7109375" style="38" customWidth="1"/>
    <col min="10" max="10" width="11.42578125" style="38" customWidth="1"/>
    <col min="11" max="12" width="7.7109375" style="38" customWidth="1"/>
    <col min="13" max="16384" width="9.140625" style="38" hidden="1"/>
  </cols>
  <sheetData>
    <row r="1" spans="1:13" ht="23.25" x14ac:dyDescent="0.25">
      <c r="A1" s="2033" t="s">
        <v>2648</v>
      </c>
      <c r="B1" s="2033"/>
      <c r="C1" s="2033"/>
      <c r="D1" s="2033"/>
      <c r="E1" s="2033"/>
      <c r="F1" s="2033"/>
      <c r="G1" s="2033"/>
      <c r="H1" s="2033"/>
      <c r="I1" s="2033"/>
      <c r="J1" s="2033"/>
      <c r="K1" s="2033"/>
      <c r="L1" s="2033"/>
    </row>
    <row r="2" spans="1:13" ht="15" customHeight="1" x14ac:dyDescent="0.25">
      <c r="A2" s="49"/>
      <c r="B2" s="50"/>
      <c r="C2" s="50"/>
      <c r="D2" s="50"/>
      <c r="E2" s="50"/>
      <c r="F2" s="49"/>
      <c r="G2" s="49"/>
      <c r="H2" s="1585" t="s">
        <v>2605</v>
      </c>
      <c r="I2" s="1585"/>
      <c r="J2" s="1585"/>
      <c r="K2" s="734" t="s">
        <v>80</v>
      </c>
      <c r="L2" s="734" t="s">
        <v>729</v>
      </c>
    </row>
    <row r="3" spans="1:13" ht="15" customHeight="1" x14ac:dyDescent="0.25">
      <c r="A3" s="49"/>
      <c r="B3" s="50"/>
      <c r="C3" s="50"/>
      <c r="D3" s="50"/>
      <c r="E3" s="50"/>
      <c r="F3" s="49"/>
      <c r="G3" s="49"/>
      <c r="H3" s="1585"/>
      <c r="I3" s="1585"/>
      <c r="J3" s="1585"/>
      <c r="K3" s="734" t="s">
        <v>82</v>
      </c>
      <c r="L3" s="734" t="s">
        <v>1788</v>
      </c>
    </row>
    <row r="4" spans="1:13" ht="15" customHeight="1" x14ac:dyDescent="0.25">
      <c r="A4" s="49"/>
      <c r="B4" s="50"/>
      <c r="C4" s="50"/>
      <c r="D4" s="50"/>
      <c r="E4" s="50"/>
      <c r="F4" s="49"/>
      <c r="G4" s="49"/>
      <c r="H4" s="1586"/>
      <c r="I4" s="1586"/>
      <c r="J4" s="1586"/>
      <c r="K4" s="734" t="s">
        <v>87</v>
      </c>
      <c r="L4" s="734" t="s">
        <v>76</v>
      </c>
    </row>
    <row r="5" spans="1:13" ht="21" customHeight="1" x14ac:dyDescent="0.25">
      <c r="A5" s="1600" t="s">
        <v>2647</v>
      </c>
      <c r="B5" s="1601"/>
      <c r="C5" s="1601"/>
      <c r="D5" s="1601"/>
      <c r="E5" s="1601"/>
      <c r="F5" s="1601"/>
      <c r="G5" s="1601"/>
      <c r="H5" s="1601"/>
      <c r="I5" s="1601"/>
      <c r="J5" s="1601"/>
      <c r="K5" s="1601"/>
      <c r="L5" s="1601"/>
    </row>
    <row r="6" spans="1:13" ht="21" customHeight="1" x14ac:dyDescent="0.25">
      <c r="A6" s="1603"/>
      <c r="B6" s="1604"/>
      <c r="C6" s="1604"/>
      <c r="D6" s="1604"/>
      <c r="E6" s="1604"/>
      <c r="F6" s="1604"/>
      <c r="G6" s="1604"/>
      <c r="H6" s="1604"/>
      <c r="I6" s="1604"/>
      <c r="J6" s="1604"/>
      <c r="K6" s="1604"/>
      <c r="L6" s="1604"/>
    </row>
    <row r="7" spans="1:13" ht="21" customHeight="1" x14ac:dyDescent="0.25">
      <c r="A7" s="1606"/>
      <c r="B7" s="1607"/>
      <c r="C7" s="1607"/>
      <c r="D7" s="1607"/>
      <c r="E7" s="1607"/>
      <c r="F7" s="1607"/>
      <c r="G7" s="1607"/>
      <c r="H7" s="1607"/>
      <c r="I7" s="1607"/>
      <c r="J7" s="1607"/>
      <c r="K7" s="1607"/>
      <c r="L7" s="1607"/>
    </row>
    <row r="8" spans="1:13" ht="12" customHeight="1" x14ac:dyDescent="0.25">
      <c r="A8" s="49"/>
      <c r="B8" s="50"/>
      <c r="C8" s="50"/>
      <c r="D8" s="50"/>
      <c r="E8" s="50"/>
      <c r="F8" s="49"/>
      <c r="G8" s="49"/>
      <c r="H8" s="49"/>
      <c r="I8" s="49"/>
      <c r="J8" s="49"/>
      <c r="K8" s="49"/>
      <c r="L8" s="49"/>
    </row>
    <row r="9" spans="1:13" ht="18" customHeight="1" x14ac:dyDescent="0.25">
      <c r="A9" s="2016" t="s">
        <v>177</v>
      </c>
      <c r="B9" s="2016"/>
      <c r="C9" s="2016"/>
      <c r="D9" s="2016"/>
      <c r="E9" s="2016"/>
      <c r="F9" s="2016"/>
      <c r="G9" s="2016"/>
      <c r="H9" s="2016"/>
      <c r="I9" s="2016"/>
      <c r="J9" s="2016"/>
      <c r="K9" s="2016"/>
      <c r="L9" s="2016"/>
    </row>
    <row r="10" spans="1:13" x14ac:dyDescent="0.25">
      <c r="A10" s="49"/>
      <c r="B10" s="50"/>
      <c r="C10" s="50"/>
      <c r="D10" s="50"/>
      <c r="E10" s="50"/>
      <c r="F10" s="49"/>
      <c r="G10" s="49"/>
      <c r="H10" s="49"/>
      <c r="I10" s="49"/>
      <c r="J10" s="49"/>
      <c r="K10" s="49"/>
      <c r="L10" s="49"/>
    </row>
    <row r="11" spans="1:13" ht="21" customHeight="1" x14ac:dyDescent="0.25">
      <c r="A11" s="49"/>
      <c r="B11" s="2019" t="s">
        <v>178</v>
      </c>
      <c r="C11" s="2020"/>
      <c r="D11" s="2020"/>
      <c r="E11" s="2020"/>
      <c r="F11" s="583" t="s">
        <v>152</v>
      </c>
      <c r="G11" s="583" t="s">
        <v>53</v>
      </c>
      <c r="H11" s="51" t="s">
        <v>492</v>
      </c>
      <c r="I11" s="49"/>
      <c r="J11" s="49"/>
      <c r="K11" s="49"/>
      <c r="L11" s="49"/>
    </row>
    <row r="12" spans="1:13" ht="26.25" customHeight="1" x14ac:dyDescent="0.25">
      <c r="A12" s="49"/>
      <c r="B12" s="1791" t="s">
        <v>2606</v>
      </c>
      <c r="C12" s="1792" t="s">
        <v>128</v>
      </c>
      <c r="D12" s="1792" t="s">
        <v>128</v>
      </c>
      <c r="E12" s="1793" t="s">
        <v>128</v>
      </c>
      <c r="F12" s="1330">
        <v>1</v>
      </c>
      <c r="G12" s="1330">
        <f>C58</f>
        <v>0</v>
      </c>
      <c r="H12" s="1330" t="str">
        <f>C59</f>
        <v>No</v>
      </c>
      <c r="I12" s="49"/>
      <c r="J12" s="49"/>
      <c r="K12" s="49"/>
      <c r="L12" s="49"/>
      <c r="M12" s="38" t="str">
        <f>IF(G12&lt;&gt;0,IF(H12="No","No","Yes"),"Yes")</f>
        <v>Yes</v>
      </c>
    </row>
    <row r="13" spans="1:13" ht="26.25" customHeight="1" x14ac:dyDescent="0.25">
      <c r="A13" s="49"/>
      <c r="B13" s="1791" t="s">
        <v>2607</v>
      </c>
      <c r="C13" s="1792" t="s">
        <v>129</v>
      </c>
      <c r="D13" s="1792" t="s">
        <v>129</v>
      </c>
      <c r="E13" s="1793" t="s">
        <v>129</v>
      </c>
      <c r="F13" s="1330">
        <v>1</v>
      </c>
      <c r="G13" s="1330">
        <f>C93</f>
        <v>0</v>
      </c>
      <c r="H13" s="1330" t="str">
        <f>C94</f>
        <v>No</v>
      </c>
      <c r="I13" s="49"/>
      <c r="J13" s="49"/>
      <c r="K13" s="49"/>
      <c r="L13" s="49"/>
      <c r="M13" s="38" t="str">
        <f>IF(G13&lt;&gt;0,IF(H13="No","No","Yes"),"Yes")</f>
        <v>Yes</v>
      </c>
    </row>
    <row r="14" spans="1:13" ht="26.25" customHeight="1" x14ac:dyDescent="0.25">
      <c r="A14" s="49"/>
      <c r="B14" s="1791" t="s">
        <v>2608</v>
      </c>
      <c r="C14" s="1792" t="s">
        <v>130</v>
      </c>
      <c r="D14" s="1792" t="s">
        <v>130</v>
      </c>
      <c r="E14" s="1793" t="s">
        <v>130</v>
      </c>
      <c r="F14" s="1330">
        <v>1</v>
      </c>
      <c r="G14" s="1330">
        <f>C129</f>
        <v>0</v>
      </c>
      <c r="H14" s="1330" t="str">
        <f>C130</f>
        <v>No</v>
      </c>
      <c r="I14" s="49"/>
      <c r="J14" s="49"/>
      <c r="K14" s="49"/>
      <c r="L14" s="49"/>
      <c r="M14" s="38" t="str">
        <f>IF(G14&lt;&gt;0,IF(H14="No","No","Yes"),"Yes")</f>
        <v>Yes</v>
      </c>
    </row>
    <row r="15" spans="1:13" ht="26.25" customHeight="1" x14ac:dyDescent="0.25">
      <c r="A15" s="49"/>
      <c r="B15" s="1791" t="s">
        <v>2609</v>
      </c>
      <c r="C15" s="1792" t="s">
        <v>131</v>
      </c>
      <c r="D15" s="1792" t="s">
        <v>131</v>
      </c>
      <c r="E15" s="1793" t="s">
        <v>131</v>
      </c>
      <c r="F15" s="1330">
        <v>1</v>
      </c>
      <c r="G15" s="1330">
        <f>C171</f>
        <v>0</v>
      </c>
      <c r="H15" s="1330" t="str">
        <f>C172</f>
        <v>No</v>
      </c>
      <c r="I15" s="49"/>
      <c r="J15" s="49"/>
      <c r="K15" s="49"/>
      <c r="L15" s="49"/>
      <c r="M15" s="38" t="str">
        <f>IF(G15&lt;&gt;0,IF(H15="No","No","Yes"),"Yes")</f>
        <v>Yes</v>
      </c>
    </row>
    <row r="16" spans="1:13" ht="26.25" customHeight="1" x14ac:dyDescent="0.25">
      <c r="A16" s="49"/>
      <c r="B16" s="1791" t="s">
        <v>2610</v>
      </c>
      <c r="C16" s="1792" t="s">
        <v>131</v>
      </c>
      <c r="D16" s="1792" t="s">
        <v>131</v>
      </c>
      <c r="E16" s="1793" t="s">
        <v>131</v>
      </c>
      <c r="F16" s="1330">
        <v>1</v>
      </c>
      <c r="G16" s="1330">
        <f>C207</f>
        <v>0</v>
      </c>
      <c r="H16" s="1330" t="str">
        <f>C208</f>
        <v>No</v>
      </c>
      <c r="I16" s="49"/>
      <c r="J16" s="49"/>
      <c r="K16" s="49"/>
      <c r="L16" s="49"/>
      <c r="M16" s="38" t="str">
        <f>IF(G16&lt;&gt;0,IF(H16="No","No","Yes"),"Yes")</f>
        <v>Yes</v>
      </c>
    </row>
    <row r="17" spans="1:12" ht="21" customHeight="1" x14ac:dyDescent="0.25">
      <c r="A17" s="49"/>
      <c r="B17" s="1613" t="s">
        <v>79</v>
      </c>
      <c r="C17" s="1748"/>
      <c r="D17" s="1748"/>
      <c r="E17" s="1749"/>
      <c r="F17" s="631">
        <v>3</v>
      </c>
      <c r="G17" s="631">
        <f>MIN(3,G12+G13+G14+G15+G16)</f>
        <v>0</v>
      </c>
      <c r="H17" s="631" t="str">
        <f>IF(COUNTIF(H12:H16,"No")=5,"No",IF(COUNTIF(M12:M16,"Yes")=5,"Yes","No"))</f>
        <v>No</v>
      </c>
      <c r="I17" s="49"/>
      <c r="J17" s="49"/>
      <c r="K17" s="49"/>
      <c r="L17" s="49"/>
    </row>
    <row r="18" spans="1:12" x14ac:dyDescent="0.25">
      <c r="A18" s="49"/>
      <c r="B18" s="50"/>
      <c r="C18" s="50"/>
      <c r="D18" s="50"/>
      <c r="E18" s="50"/>
      <c r="F18" s="49"/>
      <c r="G18" s="49"/>
      <c r="H18" s="49"/>
      <c r="I18" s="49"/>
      <c r="J18" s="49"/>
      <c r="K18" s="49"/>
      <c r="L18" s="49"/>
    </row>
    <row r="19" spans="1:12" ht="18" customHeight="1" x14ac:dyDescent="0.25">
      <c r="A19" s="2016" t="s">
        <v>1430</v>
      </c>
      <c r="B19" s="2016"/>
      <c r="C19" s="2016"/>
      <c r="D19" s="2016"/>
      <c r="E19" s="2016"/>
      <c r="F19" s="2016"/>
      <c r="G19" s="2016"/>
      <c r="H19" s="2016"/>
      <c r="I19" s="2016"/>
      <c r="J19" s="2016"/>
      <c r="K19" s="2016"/>
      <c r="L19" s="2016"/>
    </row>
    <row r="20" spans="1:12" x14ac:dyDescent="0.25">
      <c r="A20" s="49"/>
      <c r="B20" s="50"/>
      <c r="C20" s="50"/>
      <c r="D20" s="50"/>
      <c r="E20" s="50"/>
      <c r="F20" s="49"/>
      <c r="G20" s="49"/>
      <c r="H20" s="49"/>
      <c r="I20" s="49"/>
      <c r="J20" s="49"/>
      <c r="K20" s="49"/>
      <c r="L20" s="49"/>
    </row>
    <row r="21" spans="1:12" x14ac:dyDescent="0.25">
      <c r="A21" s="49"/>
      <c r="B21" s="2065" t="s">
        <v>2646</v>
      </c>
      <c r="C21" s="2066"/>
      <c r="D21" s="2066"/>
      <c r="E21" s="2066"/>
      <c r="F21" s="2066"/>
      <c r="G21" s="2066"/>
      <c r="H21" s="2066"/>
      <c r="I21" s="2066"/>
      <c r="J21" s="2066"/>
      <c r="K21" s="2067"/>
      <c r="L21" s="49"/>
    </row>
    <row r="22" spans="1:12" x14ac:dyDescent="0.25">
      <c r="A22" s="49"/>
      <c r="B22" s="1757" t="s">
        <v>2611</v>
      </c>
      <c r="C22" s="1758"/>
      <c r="D22" s="1758"/>
      <c r="E22" s="1758"/>
      <c r="F22" s="1758"/>
      <c r="G22" s="1758"/>
      <c r="H22" s="1758"/>
      <c r="I22" s="1758"/>
      <c r="J22" s="1758"/>
      <c r="K22" s="1759"/>
      <c r="L22" s="49"/>
    </row>
    <row r="23" spans="1:12" ht="26.25" customHeight="1" x14ac:dyDescent="0.25">
      <c r="A23" s="49"/>
      <c r="B23" s="1751" t="s">
        <v>2612</v>
      </c>
      <c r="C23" s="1752"/>
      <c r="D23" s="1752"/>
      <c r="E23" s="1752"/>
      <c r="F23" s="1752"/>
      <c r="G23" s="1752"/>
      <c r="H23" s="1752"/>
      <c r="I23" s="1752"/>
      <c r="J23" s="1752"/>
      <c r="K23" s="1753"/>
      <c r="L23" s="49"/>
    </row>
    <row r="24" spans="1:12" x14ac:dyDescent="0.25">
      <c r="A24" s="49"/>
      <c r="B24" s="1760" t="s">
        <v>2613</v>
      </c>
      <c r="C24" s="1761"/>
      <c r="D24" s="1761"/>
      <c r="E24" s="1761"/>
      <c r="F24" s="1761"/>
      <c r="G24" s="1761"/>
      <c r="H24" s="1761"/>
      <c r="I24" s="1761"/>
      <c r="J24" s="1761"/>
      <c r="K24" s="1762"/>
      <c r="L24" s="49"/>
    </row>
    <row r="25" spans="1:12" ht="18" customHeight="1" x14ac:dyDescent="0.25">
      <c r="A25" s="49"/>
      <c r="B25" s="50"/>
      <c r="C25" s="50"/>
      <c r="D25" s="50"/>
      <c r="E25" s="50"/>
      <c r="F25" s="49"/>
      <c r="G25" s="49"/>
      <c r="H25" s="49"/>
      <c r="I25" s="49"/>
      <c r="J25" s="49"/>
      <c r="K25" s="49"/>
      <c r="L25" s="49"/>
    </row>
    <row r="26" spans="1:12" ht="18" customHeight="1" x14ac:dyDescent="0.25">
      <c r="A26" s="2016" t="s">
        <v>533</v>
      </c>
      <c r="B26" s="2016"/>
      <c r="C26" s="2016"/>
      <c r="D26" s="2016"/>
      <c r="E26" s="2016"/>
      <c r="F26" s="2016"/>
      <c r="G26" s="2016"/>
      <c r="H26" s="2016"/>
      <c r="I26" s="2016"/>
      <c r="J26" s="2016"/>
      <c r="K26" s="2016"/>
      <c r="L26" s="2016"/>
    </row>
    <row r="27" spans="1:12" x14ac:dyDescent="0.25">
      <c r="A27" s="49"/>
      <c r="B27" s="49"/>
      <c r="C27" s="49"/>
      <c r="D27" s="49"/>
      <c r="E27" s="50"/>
      <c r="F27" s="49"/>
      <c r="G27" s="49"/>
      <c r="H27" s="49"/>
      <c r="I27" s="49"/>
      <c r="J27" s="49"/>
      <c r="K27" s="49"/>
      <c r="L27" s="49"/>
    </row>
    <row r="28" spans="1:12" ht="16.5" customHeight="1" x14ac:dyDescent="0.25">
      <c r="A28" s="2068" t="s">
        <v>245</v>
      </c>
      <c r="B28" s="2068"/>
      <c r="C28" s="2068"/>
      <c r="D28" s="49"/>
      <c r="E28" s="50"/>
      <c r="F28" s="49"/>
      <c r="G28" s="49"/>
      <c r="H28" s="49"/>
      <c r="I28" s="49"/>
      <c r="J28" s="49"/>
      <c r="K28" s="49"/>
      <c r="L28" s="49"/>
    </row>
    <row r="29" spans="1:12" ht="12.75" customHeight="1" x14ac:dyDescent="0.25">
      <c r="A29" s="49"/>
      <c r="B29" s="49"/>
      <c r="C29" s="49"/>
      <c r="D29" s="49"/>
      <c r="E29" s="50"/>
      <c r="F29" s="49"/>
      <c r="G29" s="49"/>
      <c r="H29" s="49"/>
      <c r="I29" s="49"/>
      <c r="J29" s="49"/>
      <c r="K29" s="49"/>
      <c r="L29" s="49"/>
    </row>
    <row r="30" spans="1:12" x14ac:dyDescent="0.25">
      <c r="A30" s="49"/>
      <c r="B30" s="641" t="s">
        <v>2614</v>
      </c>
      <c r="C30" s="50"/>
      <c r="D30" s="50"/>
      <c r="E30" s="50"/>
      <c r="F30" s="49"/>
      <c r="G30" s="49"/>
      <c r="H30" s="49"/>
      <c r="I30" s="49"/>
      <c r="J30" s="49"/>
      <c r="K30" s="49"/>
      <c r="L30" s="49"/>
    </row>
    <row r="31" spans="1:12" ht="18" customHeight="1" x14ac:dyDescent="0.25">
      <c r="A31" s="49"/>
      <c r="B31" s="50"/>
      <c r="C31" s="50"/>
      <c r="D31" s="50"/>
      <c r="E31" s="50"/>
      <c r="F31" s="49"/>
      <c r="G31" s="49"/>
      <c r="H31" s="49"/>
      <c r="I31" s="49"/>
      <c r="J31" s="49"/>
      <c r="K31" s="49"/>
      <c r="L31" s="49"/>
    </row>
    <row r="32" spans="1:12" x14ac:dyDescent="0.25">
      <c r="A32" s="49"/>
      <c r="B32" s="566" t="s">
        <v>2615</v>
      </c>
      <c r="C32" s="50"/>
      <c r="D32" s="50"/>
      <c r="E32" s="50"/>
      <c r="F32" s="49"/>
      <c r="G32" s="49"/>
      <c r="H32" s="49"/>
      <c r="I32" s="49"/>
      <c r="J32" s="49"/>
      <c r="K32" s="49"/>
      <c r="L32" s="49"/>
    </row>
    <row r="33" spans="1:12" ht="18" customHeight="1" x14ac:dyDescent="0.25">
      <c r="A33" s="49"/>
      <c r="B33" s="50"/>
      <c r="C33" s="50"/>
      <c r="D33" s="50"/>
      <c r="E33" s="50"/>
      <c r="F33" s="49"/>
      <c r="G33" s="49"/>
      <c r="H33" s="49"/>
      <c r="I33" s="49"/>
      <c r="J33" s="49"/>
      <c r="K33" s="49"/>
      <c r="L33" s="49"/>
    </row>
    <row r="34" spans="1:12" ht="15" customHeight="1" x14ac:dyDescent="0.25">
      <c r="A34" s="49"/>
      <c r="B34" s="1597" t="s">
        <v>1319</v>
      </c>
      <c r="C34" s="1597"/>
      <c r="D34" s="1597"/>
      <c r="E34" s="1597"/>
      <c r="F34" s="1597"/>
      <c r="G34" s="1597"/>
      <c r="H34" s="49"/>
      <c r="I34" s="49"/>
      <c r="J34" s="49"/>
      <c r="K34" s="49"/>
      <c r="L34" s="49"/>
    </row>
    <row r="35" spans="1:12" ht="12" customHeight="1" x14ac:dyDescent="0.25">
      <c r="A35" s="49"/>
      <c r="B35" s="50"/>
      <c r="C35" s="50"/>
      <c r="D35" s="50"/>
      <c r="E35" s="50"/>
      <c r="F35" s="49"/>
      <c r="G35" s="49"/>
      <c r="H35" s="49"/>
      <c r="I35" s="49"/>
      <c r="J35" s="49"/>
      <c r="K35" s="49"/>
      <c r="L35" s="49"/>
    </row>
    <row r="36" spans="1:12" ht="26.25" customHeight="1" x14ac:dyDescent="0.25">
      <c r="A36" s="49"/>
      <c r="B36" s="1334" t="s">
        <v>213</v>
      </c>
      <c r="C36" s="1331" t="s">
        <v>212</v>
      </c>
      <c r="D36" s="1331" t="s">
        <v>2616</v>
      </c>
      <c r="E36" s="1331" t="s">
        <v>624</v>
      </c>
      <c r="F36" s="1331" t="s">
        <v>214</v>
      </c>
      <c r="G36" s="1332" t="s">
        <v>172</v>
      </c>
      <c r="H36" s="2046" t="s">
        <v>30</v>
      </c>
      <c r="I36" s="2046"/>
      <c r="J36" s="2069"/>
      <c r="K36" s="49"/>
      <c r="L36" s="49"/>
    </row>
    <row r="37" spans="1:12" x14ac:dyDescent="0.25">
      <c r="A37" s="49"/>
      <c r="B37" s="1329"/>
      <c r="C37" s="1333"/>
      <c r="D37" s="1329" t="s">
        <v>124</v>
      </c>
      <c r="E37" s="1333"/>
      <c r="F37" s="1333"/>
      <c r="G37" s="297" t="str">
        <f>IF(OR(D37="",D37="Select"),"",IF(OR(D37="Inherently non-emitting product",D37="Certified product"),"Yes",IF(AND(E37&lt;&gt;"",F37&lt;&gt;""),IF(E37&lt;F37,"Yes","No"),"No")))</f>
        <v/>
      </c>
      <c r="H37" s="1637"/>
      <c r="I37" s="1637"/>
      <c r="J37" s="1637"/>
      <c r="K37" s="49"/>
      <c r="L37" s="49"/>
    </row>
    <row r="38" spans="1:12" x14ac:dyDescent="0.25">
      <c r="A38" s="49"/>
      <c r="B38" s="1329"/>
      <c r="C38" s="1333"/>
      <c r="D38" s="1329" t="s">
        <v>124</v>
      </c>
      <c r="E38" s="1333"/>
      <c r="F38" s="1333"/>
      <c r="G38" s="297" t="str">
        <f t="shared" ref="G38:G46" si="0">IF(OR(D38="",D38="Select"),"",IF(OR(D38="Inherently non-emitting product",D38="Certified product"),"Yes",IF(AND(E38&lt;&gt;"",F38&lt;&gt;""),IF(E38&lt;F38,"Yes","No"),"No")))</f>
        <v/>
      </c>
      <c r="H38" s="1637"/>
      <c r="I38" s="1637"/>
      <c r="J38" s="1637"/>
      <c r="K38" s="49"/>
      <c r="L38" s="49"/>
    </row>
    <row r="39" spans="1:12" x14ac:dyDescent="0.25">
      <c r="A39" s="49"/>
      <c r="B39" s="1329"/>
      <c r="C39" s="1333"/>
      <c r="D39" s="1329" t="s">
        <v>124</v>
      </c>
      <c r="E39" s="1333"/>
      <c r="F39" s="1333"/>
      <c r="G39" s="297" t="str">
        <f t="shared" si="0"/>
        <v/>
      </c>
      <c r="H39" s="1637"/>
      <c r="I39" s="1637"/>
      <c r="J39" s="1637"/>
      <c r="K39" s="49"/>
      <c r="L39" s="49"/>
    </row>
    <row r="40" spans="1:12" x14ac:dyDescent="0.25">
      <c r="A40" s="49"/>
      <c r="B40" s="1329"/>
      <c r="C40" s="1333"/>
      <c r="D40" s="1329" t="s">
        <v>124</v>
      </c>
      <c r="E40" s="1333"/>
      <c r="F40" s="1333"/>
      <c r="G40" s="297" t="str">
        <f t="shared" si="0"/>
        <v/>
      </c>
      <c r="H40" s="1637"/>
      <c r="I40" s="1637"/>
      <c r="J40" s="1637"/>
      <c r="K40" s="49"/>
      <c r="L40" s="49"/>
    </row>
    <row r="41" spans="1:12" x14ac:dyDescent="0.25">
      <c r="A41" s="49"/>
      <c r="B41" s="1329"/>
      <c r="C41" s="1333"/>
      <c r="D41" s="1329" t="s">
        <v>124</v>
      </c>
      <c r="E41" s="1333"/>
      <c r="F41" s="1333"/>
      <c r="G41" s="297" t="str">
        <f t="shared" si="0"/>
        <v/>
      </c>
      <c r="H41" s="1637"/>
      <c r="I41" s="1637"/>
      <c r="J41" s="1637"/>
      <c r="K41" s="49"/>
      <c r="L41" s="49"/>
    </row>
    <row r="42" spans="1:12" x14ac:dyDescent="0.25">
      <c r="A42" s="49"/>
      <c r="B42" s="1329"/>
      <c r="C42" s="1333"/>
      <c r="D42" s="1329" t="s">
        <v>124</v>
      </c>
      <c r="E42" s="1333"/>
      <c r="F42" s="1333"/>
      <c r="G42" s="297" t="str">
        <f t="shared" si="0"/>
        <v/>
      </c>
      <c r="H42" s="1637"/>
      <c r="I42" s="1637"/>
      <c r="J42" s="1637"/>
      <c r="K42" s="49"/>
      <c r="L42" s="49"/>
    </row>
    <row r="43" spans="1:12" x14ac:dyDescent="0.25">
      <c r="A43" s="49"/>
      <c r="B43" s="1329"/>
      <c r="C43" s="168"/>
      <c r="D43" s="1329" t="s">
        <v>124</v>
      </c>
      <c r="E43" s="168"/>
      <c r="F43" s="168"/>
      <c r="G43" s="297" t="str">
        <f t="shared" si="0"/>
        <v/>
      </c>
      <c r="H43" s="1637"/>
      <c r="I43" s="1637"/>
      <c r="J43" s="1637"/>
      <c r="K43" s="49"/>
      <c r="L43" s="49"/>
    </row>
    <row r="44" spans="1:12" x14ac:dyDescent="0.25">
      <c r="A44" s="49"/>
      <c r="B44" s="1329"/>
      <c r="C44" s="168"/>
      <c r="D44" s="1329" t="s">
        <v>124</v>
      </c>
      <c r="E44" s="168"/>
      <c r="F44" s="168"/>
      <c r="G44" s="297" t="str">
        <f t="shared" si="0"/>
        <v/>
      </c>
      <c r="H44" s="1637"/>
      <c r="I44" s="1637"/>
      <c r="J44" s="1637"/>
      <c r="K44" s="49"/>
      <c r="L44" s="49"/>
    </row>
    <row r="45" spans="1:12" x14ac:dyDescent="0.25">
      <c r="A45" s="49"/>
      <c r="B45" s="1329"/>
      <c r="C45" s="168"/>
      <c r="D45" s="1329" t="s">
        <v>124</v>
      </c>
      <c r="E45" s="168"/>
      <c r="F45" s="168"/>
      <c r="G45" s="297" t="str">
        <f t="shared" si="0"/>
        <v/>
      </c>
      <c r="H45" s="1637"/>
      <c r="I45" s="1637"/>
      <c r="J45" s="1637"/>
      <c r="K45" s="49"/>
      <c r="L45" s="49"/>
    </row>
    <row r="46" spans="1:12" x14ac:dyDescent="0.25">
      <c r="A46" s="49"/>
      <c r="B46" s="1329"/>
      <c r="C46" s="168"/>
      <c r="D46" s="1329" t="s">
        <v>124</v>
      </c>
      <c r="E46" s="168"/>
      <c r="F46" s="168"/>
      <c r="G46" s="297" t="str">
        <f t="shared" si="0"/>
        <v/>
      </c>
      <c r="H46" s="1637"/>
      <c r="I46" s="1637"/>
      <c r="J46" s="1637"/>
      <c r="K46" s="49"/>
      <c r="L46" s="49"/>
    </row>
    <row r="47" spans="1:12" x14ac:dyDescent="0.25">
      <c r="A47" s="49"/>
      <c r="B47" s="50"/>
      <c r="C47" s="50"/>
      <c r="D47" s="50"/>
      <c r="E47" s="50"/>
      <c r="F47" s="49"/>
      <c r="G47" s="49"/>
      <c r="H47" s="49"/>
      <c r="I47" s="49"/>
      <c r="J47" s="49"/>
      <c r="K47" s="49"/>
      <c r="L47" s="49"/>
    </row>
    <row r="48" spans="1:12" ht="18" customHeight="1" x14ac:dyDescent="0.25">
      <c r="A48" s="49"/>
      <c r="B48" s="2039" t="s">
        <v>215</v>
      </c>
      <c r="C48" s="2039"/>
      <c r="D48" s="79" t="str">
        <f>IF(COUNTBLANK(G37:G46)=10,"",IF(COUNTIF(G37:G46,"No")=0,"Yes","No"))</f>
        <v/>
      </c>
      <c r="E48" s="49"/>
      <c r="F48" s="49"/>
      <c r="G48" s="49"/>
      <c r="H48" s="49"/>
      <c r="I48" s="49"/>
      <c r="J48" s="49"/>
      <c r="K48" s="49"/>
      <c r="L48" s="49"/>
    </row>
    <row r="49" spans="1:13" ht="19.5" customHeight="1" x14ac:dyDescent="0.25">
      <c r="A49" s="49"/>
      <c r="B49" s="50"/>
      <c r="C49" s="50"/>
      <c r="D49" s="50"/>
      <c r="E49" s="49"/>
      <c r="F49" s="49"/>
      <c r="G49" s="49"/>
      <c r="H49" s="49"/>
      <c r="I49" s="49"/>
      <c r="J49" s="49"/>
      <c r="K49" s="49"/>
      <c r="L49" s="49"/>
    </row>
    <row r="50" spans="1:13" ht="16.5" customHeight="1" x14ac:dyDescent="0.25">
      <c r="A50" s="2068" t="s">
        <v>186</v>
      </c>
      <c r="B50" s="2068"/>
      <c r="C50" s="2068"/>
      <c r="D50" s="50"/>
      <c r="E50" s="50"/>
      <c r="F50" s="50"/>
      <c r="G50" s="50"/>
      <c r="H50" s="50"/>
      <c r="I50" s="50"/>
      <c r="J50" s="50"/>
      <c r="K50" s="50"/>
      <c r="L50" s="50"/>
    </row>
    <row r="51" spans="1:13" x14ac:dyDescent="0.25">
      <c r="A51" s="49"/>
      <c r="B51" s="50"/>
      <c r="C51" s="50"/>
      <c r="D51" s="50"/>
      <c r="E51" s="49"/>
      <c r="F51" s="49"/>
      <c r="G51" s="49"/>
      <c r="H51" s="49"/>
      <c r="I51" s="49"/>
      <c r="J51" s="49"/>
      <c r="K51" s="49"/>
      <c r="L51" s="49"/>
    </row>
    <row r="52" spans="1:13" ht="21" customHeight="1" x14ac:dyDescent="0.25">
      <c r="A52" s="49"/>
      <c r="B52" s="2035" t="s">
        <v>190</v>
      </c>
      <c r="C52" s="2036"/>
      <c r="D52" s="2036"/>
      <c r="E52" s="2036"/>
      <c r="F52" s="2036"/>
      <c r="G52" s="1332" t="s">
        <v>1737</v>
      </c>
      <c r="H52" s="2030" t="s">
        <v>1738</v>
      </c>
      <c r="I52" s="2030"/>
      <c r="J52" s="49"/>
      <c r="K52" s="49"/>
      <c r="L52" s="49"/>
    </row>
    <row r="53" spans="1:13" ht="30" customHeight="1" x14ac:dyDescent="0.25">
      <c r="A53" s="49"/>
      <c r="B53" s="1576" t="s">
        <v>2617</v>
      </c>
      <c r="C53" s="1577"/>
      <c r="D53" s="1577"/>
      <c r="E53" s="1577"/>
      <c r="F53" s="1577"/>
      <c r="G53" s="1329" t="s">
        <v>124</v>
      </c>
      <c r="H53" s="1763"/>
      <c r="I53" s="1841"/>
      <c r="J53" s="49"/>
      <c r="K53" s="49"/>
      <c r="L53" s="49"/>
      <c r="M53" s="38" t="str">
        <f>IF(OR(B53="/",B53="No evidence required at this submission stage"),"Yes",IF(G53="Submitted","Yes","No"))</f>
        <v>No</v>
      </c>
    </row>
    <row r="54" spans="1:13" ht="30" customHeight="1" x14ac:dyDescent="0.25">
      <c r="A54" s="49"/>
      <c r="B54" s="1576" t="s">
        <v>2618</v>
      </c>
      <c r="C54" s="1577"/>
      <c r="D54" s="1577"/>
      <c r="E54" s="1577"/>
      <c r="F54" s="1577"/>
      <c r="G54" s="1329" t="s">
        <v>124</v>
      </c>
      <c r="H54" s="1763"/>
      <c r="I54" s="1841"/>
      <c r="J54" s="49"/>
      <c r="K54" s="49"/>
      <c r="L54" s="49"/>
      <c r="M54" s="38" t="str">
        <f>IF(OR(B54="/",B54="No evidence required at this submission stage"),"Yes",IF(G54="Submitted","Yes","No"))</f>
        <v>No</v>
      </c>
    </row>
    <row r="55" spans="1:13" ht="16.5" customHeight="1" x14ac:dyDescent="0.25">
      <c r="A55" s="49"/>
      <c r="B55" s="50"/>
      <c r="C55" s="50"/>
      <c r="D55" s="50"/>
      <c r="E55" s="49"/>
      <c r="F55" s="49"/>
      <c r="G55" s="49"/>
      <c r="H55" s="49"/>
      <c r="I55" s="49"/>
      <c r="J55" s="49"/>
      <c r="K55" s="49"/>
      <c r="L55" s="49"/>
    </row>
    <row r="56" spans="1:13" ht="16.5" customHeight="1" x14ac:dyDescent="0.25">
      <c r="A56" s="2068" t="s">
        <v>22</v>
      </c>
      <c r="B56" s="2068"/>
      <c r="C56" s="2068"/>
      <c r="D56" s="50"/>
      <c r="E56" s="49"/>
      <c r="F56" s="49"/>
      <c r="G56" s="49"/>
      <c r="H56" s="49"/>
      <c r="I56" s="49"/>
      <c r="J56" s="49"/>
      <c r="K56" s="49"/>
      <c r="L56" s="49"/>
    </row>
    <row r="57" spans="1:13" ht="16.5" customHeight="1" x14ac:dyDescent="0.25">
      <c r="A57" s="49"/>
      <c r="B57" s="50"/>
      <c r="C57" s="50"/>
      <c r="D57" s="50"/>
      <c r="E57" s="49"/>
      <c r="F57" s="49"/>
      <c r="G57" s="49"/>
      <c r="H57" s="49"/>
      <c r="I57" s="49"/>
      <c r="J57" s="49"/>
      <c r="K57" s="49"/>
      <c r="L57" s="49"/>
    </row>
    <row r="58" spans="1:13" ht="18.75" customHeight="1" x14ac:dyDescent="0.25">
      <c r="A58" s="49"/>
      <c r="B58" s="243" t="s">
        <v>53</v>
      </c>
      <c r="C58" s="1335">
        <f>IF(D48="Yes",1,0)</f>
        <v>0</v>
      </c>
      <c r="D58" s="50"/>
      <c r="E58" s="49"/>
      <c r="F58" s="49"/>
      <c r="G58" s="49"/>
      <c r="H58" s="49"/>
      <c r="I58" s="49"/>
      <c r="J58" s="49"/>
      <c r="K58" s="49"/>
      <c r="L58" s="49"/>
    </row>
    <row r="59" spans="1:13" ht="18.75" customHeight="1" x14ac:dyDescent="0.25">
      <c r="A59" s="49"/>
      <c r="B59" s="244" t="s">
        <v>492</v>
      </c>
      <c r="C59" s="1335" t="str">
        <f>IF(AND(COUNTIF(M53:M54,"Yes")=2,C58&gt;0),"Yes","No")</f>
        <v>No</v>
      </c>
      <c r="D59" s="50"/>
      <c r="E59" s="49"/>
      <c r="F59" s="49"/>
      <c r="G59" s="49"/>
      <c r="H59" s="49"/>
      <c r="I59" s="49"/>
      <c r="J59" s="49"/>
      <c r="K59" s="49"/>
      <c r="L59" s="49"/>
    </row>
    <row r="60" spans="1:13" ht="21.75" customHeight="1" x14ac:dyDescent="0.25">
      <c r="A60" s="49"/>
      <c r="B60" s="49"/>
      <c r="C60" s="49"/>
      <c r="D60" s="49"/>
      <c r="E60" s="49"/>
      <c r="F60" s="49"/>
      <c r="G60" s="49"/>
      <c r="H60" s="49"/>
      <c r="I60" s="49"/>
      <c r="J60" s="49"/>
      <c r="K60" s="49"/>
      <c r="L60" s="49"/>
    </row>
    <row r="61" spans="1:13" ht="18.75" customHeight="1" x14ac:dyDescent="0.25">
      <c r="A61" s="2016" t="s">
        <v>534</v>
      </c>
      <c r="B61" s="2016"/>
      <c r="C61" s="2016"/>
      <c r="D61" s="2016"/>
      <c r="E61" s="2016"/>
      <c r="F61" s="2016"/>
      <c r="G61" s="2016"/>
      <c r="H61" s="2016"/>
      <c r="I61" s="2016"/>
      <c r="J61" s="2016"/>
      <c r="K61" s="2016"/>
      <c r="L61" s="2016"/>
    </row>
    <row r="62" spans="1:13" x14ac:dyDescent="0.25">
      <c r="A62" s="49"/>
      <c r="B62" s="49"/>
      <c r="C62" s="49"/>
      <c r="D62" s="49"/>
      <c r="E62" s="50"/>
      <c r="F62" s="49"/>
      <c r="G62" s="49"/>
      <c r="H62" s="49"/>
      <c r="I62" s="49"/>
      <c r="J62" s="49"/>
      <c r="K62" s="49"/>
      <c r="L62" s="49"/>
    </row>
    <row r="63" spans="1:13" ht="16.5" customHeight="1" x14ac:dyDescent="0.25">
      <c r="A63" s="2068" t="s">
        <v>245</v>
      </c>
      <c r="B63" s="2068"/>
      <c r="C63" s="2068"/>
      <c r="D63" s="49"/>
      <c r="E63" s="50"/>
      <c r="F63" s="49"/>
      <c r="G63" s="49"/>
      <c r="H63" s="49"/>
      <c r="I63" s="49"/>
      <c r="J63" s="49"/>
      <c r="K63" s="49"/>
      <c r="L63" s="49"/>
    </row>
    <row r="64" spans="1:13" ht="13.5" customHeight="1" x14ac:dyDescent="0.25">
      <c r="A64" s="49"/>
      <c r="B64" s="49"/>
      <c r="C64" s="49"/>
      <c r="D64" s="49"/>
      <c r="E64" s="50"/>
      <c r="F64" s="49"/>
      <c r="G64" s="49"/>
      <c r="H64" s="49"/>
      <c r="I64" s="49"/>
      <c r="J64" s="49"/>
      <c r="K64" s="49"/>
      <c r="L64" s="49"/>
    </row>
    <row r="65" spans="1:12" x14ac:dyDescent="0.25">
      <c r="A65" s="49"/>
      <c r="B65" s="641" t="s">
        <v>2619</v>
      </c>
      <c r="C65" s="50"/>
      <c r="D65" s="50"/>
      <c r="E65" s="50"/>
      <c r="F65" s="49"/>
      <c r="G65" s="49"/>
      <c r="H65" s="49"/>
      <c r="I65" s="49"/>
      <c r="J65" s="49"/>
      <c r="K65" s="49"/>
      <c r="L65" s="49"/>
    </row>
    <row r="66" spans="1:12" ht="18" customHeight="1" x14ac:dyDescent="0.25">
      <c r="A66" s="49"/>
      <c r="B66" s="50"/>
      <c r="C66" s="50"/>
      <c r="D66" s="50"/>
      <c r="E66" s="50"/>
      <c r="F66" s="49"/>
      <c r="G66" s="49"/>
      <c r="H66" s="49"/>
      <c r="I66" s="49"/>
      <c r="J66" s="49"/>
      <c r="K66" s="49"/>
      <c r="L66" s="49"/>
    </row>
    <row r="67" spans="1:12" x14ac:dyDescent="0.25">
      <c r="A67" s="49"/>
      <c r="B67" s="566" t="s">
        <v>2620</v>
      </c>
      <c r="C67" s="50"/>
      <c r="D67" s="50"/>
      <c r="E67" s="50"/>
      <c r="F67" s="49"/>
      <c r="G67" s="49"/>
      <c r="H67" s="49"/>
      <c r="I67" s="49"/>
      <c r="J67" s="49"/>
      <c r="K67" s="49"/>
      <c r="L67" s="49"/>
    </row>
    <row r="68" spans="1:12" ht="18" customHeight="1" x14ac:dyDescent="0.25">
      <c r="A68" s="49"/>
      <c r="B68" s="50"/>
      <c r="C68" s="50"/>
      <c r="D68" s="50"/>
      <c r="E68" s="50"/>
      <c r="F68" s="49"/>
      <c r="G68" s="49"/>
      <c r="H68" s="49"/>
      <c r="I68" s="49"/>
      <c r="J68" s="49"/>
      <c r="K68" s="49"/>
      <c r="L68" s="49"/>
    </row>
    <row r="69" spans="1:12" ht="15" customHeight="1" x14ac:dyDescent="0.25">
      <c r="A69" s="49"/>
      <c r="B69" s="1597" t="s">
        <v>1320</v>
      </c>
      <c r="C69" s="1597"/>
      <c r="D69" s="1597"/>
      <c r="E69" s="1597"/>
      <c r="F69" s="1597"/>
      <c r="G69" s="1597"/>
      <c r="H69" s="49"/>
      <c r="I69" s="49"/>
      <c r="J69" s="49"/>
      <c r="K69" s="49"/>
      <c r="L69" s="49"/>
    </row>
    <row r="70" spans="1:12" ht="12" customHeight="1" x14ac:dyDescent="0.25">
      <c r="A70" s="49"/>
      <c r="B70" s="50"/>
      <c r="C70" s="50"/>
      <c r="D70" s="50"/>
      <c r="E70" s="50"/>
      <c r="F70" s="49"/>
      <c r="G70" s="49"/>
      <c r="H70" s="49"/>
      <c r="I70" s="49"/>
      <c r="J70" s="49"/>
      <c r="K70" s="49"/>
      <c r="L70" s="49"/>
    </row>
    <row r="71" spans="1:12" ht="27" customHeight="1" x14ac:dyDescent="0.25">
      <c r="A71" s="49"/>
      <c r="B71" s="1334" t="s">
        <v>213</v>
      </c>
      <c r="C71" s="1331" t="s">
        <v>223</v>
      </c>
      <c r="D71" s="1331" t="s">
        <v>2616</v>
      </c>
      <c r="E71" s="1331" t="s">
        <v>624</v>
      </c>
      <c r="F71" s="1331" t="s">
        <v>214</v>
      </c>
      <c r="G71" s="1332" t="s">
        <v>172</v>
      </c>
      <c r="H71" s="2046" t="s">
        <v>30</v>
      </c>
      <c r="I71" s="2046"/>
      <c r="J71" s="2069"/>
      <c r="K71" s="49"/>
      <c r="L71" s="49"/>
    </row>
    <row r="72" spans="1:12" x14ac:dyDescent="0.25">
      <c r="A72" s="49"/>
      <c r="B72" s="1329"/>
      <c r="C72" s="1333"/>
      <c r="D72" s="1329" t="s">
        <v>124</v>
      </c>
      <c r="E72" s="1333"/>
      <c r="F72" s="1333"/>
      <c r="G72" s="297" t="str">
        <f>IF(OR(D72="",D72="Select"),"",IF(OR(D72="Inherently non-emitting product",D72="Certified product"),"Yes",IF(AND(E72&lt;&gt;"",F72&lt;&gt;""),IF(E72&lt;F72,"Yes","No"),"No")))</f>
        <v/>
      </c>
      <c r="H72" s="1637"/>
      <c r="I72" s="1637"/>
      <c r="J72" s="1637"/>
      <c r="K72" s="49"/>
      <c r="L72" s="49"/>
    </row>
    <row r="73" spans="1:12" x14ac:dyDescent="0.25">
      <c r="A73" s="49"/>
      <c r="B73" s="1329"/>
      <c r="C73" s="1333"/>
      <c r="D73" s="1329" t="s">
        <v>124</v>
      </c>
      <c r="E73" s="1333"/>
      <c r="F73" s="1333"/>
      <c r="G73" s="297" t="str">
        <f t="shared" ref="G73:G81" si="1">IF(OR(D73="",D73="Select"),"",IF(OR(D73="Inherently non-emitting product",D73="Certified product"),"Yes",IF(AND(E73&lt;&gt;"",F73&lt;&gt;""),IF(E73&lt;F73,"Yes","No"),"No")))</f>
        <v/>
      </c>
      <c r="H73" s="1637"/>
      <c r="I73" s="1637"/>
      <c r="J73" s="1637"/>
      <c r="K73" s="49"/>
      <c r="L73" s="49"/>
    </row>
    <row r="74" spans="1:12" x14ac:dyDescent="0.25">
      <c r="A74" s="49"/>
      <c r="B74" s="1329"/>
      <c r="C74" s="1333"/>
      <c r="D74" s="1329" t="s">
        <v>124</v>
      </c>
      <c r="E74" s="1333"/>
      <c r="F74" s="1333"/>
      <c r="G74" s="297" t="str">
        <f t="shared" si="1"/>
        <v/>
      </c>
      <c r="H74" s="1637"/>
      <c r="I74" s="1637"/>
      <c r="J74" s="1637"/>
      <c r="K74" s="49"/>
      <c r="L74" s="49"/>
    </row>
    <row r="75" spans="1:12" x14ac:dyDescent="0.25">
      <c r="A75" s="49"/>
      <c r="B75" s="1329"/>
      <c r="C75" s="1333"/>
      <c r="D75" s="1329" t="s">
        <v>124</v>
      </c>
      <c r="E75" s="1333"/>
      <c r="F75" s="1333"/>
      <c r="G75" s="297" t="str">
        <f t="shared" si="1"/>
        <v/>
      </c>
      <c r="H75" s="1637"/>
      <c r="I75" s="1637"/>
      <c r="J75" s="1637"/>
      <c r="K75" s="49"/>
      <c r="L75" s="49"/>
    </row>
    <row r="76" spans="1:12" x14ac:dyDescent="0.25">
      <c r="A76" s="49"/>
      <c r="B76" s="1329"/>
      <c r="C76" s="1333"/>
      <c r="D76" s="1329" t="s">
        <v>124</v>
      </c>
      <c r="E76" s="1333"/>
      <c r="F76" s="1333"/>
      <c r="G76" s="297" t="str">
        <f t="shared" si="1"/>
        <v/>
      </c>
      <c r="H76" s="1637"/>
      <c r="I76" s="1637"/>
      <c r="J76" s="1637"/>
      <c r="K76" s="49"/>
      <c r="L76" s="49"/>
    </row>
    <row r="77" spans="1:12" x14ac:dyDescent="0.25">
      <c r="A77" s="49"/>
      <c r="B77" s="1329"/>
      <c r="C77" s="1333"/>
      <c r="D77" s="1329" t="s">
        <v>124</v>
      </c>
      <c r="E77" s="1333"/>
      <c r="F77" s="1333"/>
      <c r="G77" s="297" t="str">
        <f t="shared" si="1"/>
        <v/>
      </c>
      <c r="H77" s="1637"/>
      <c r="I77" s="1637"/>
      <c r="J77" s="1637"/>
      <c r="K77" s="49"/>
      <c r="L77" s="49"/>
    </row>
    <row r="78" spans="1:12" x14ac:dyDescent="0.25">
      <c r="A78" s="49"/>
      <c r="B78" s="1329"/>
      <c r="C78" s="1333"/>
      <c r="D78" s="1329" t="s">
        <v>124</v>
      </c>
      <c r="E78" s="1333"/>
      <c r="F78" s="1333"/>
      <c r="G78" s="297" t="str">
        <f t="shared" si="1"/>
        <v/>
      </c>
      <c r="H78" s="1637"/>
      <c r="I78" s="1637"/>
      <c r="J78" s="1637"/>
      <c r="K78" s="49"/>
      <c r="L78" s="49"/>
    </row>
    <row r="79" spans="1:12" x14ac:dyDescent="0.25">
      <c r="A79" s="49"/>
      <c r="B79" s="1329"/>
      <c r="C79" s="168"/>
      <c r="D79" s="1329" t="s">
        <v>124</v>
      </c>
      <c r="E79" s="168"/>
      <c r="F79" s="168"/>
      <c r="G79" s="297" t="str">
        <f t="shared" si="1"/>
        <v/>
      </c>
      <c r="H79" s="1637"/>
      <c r="I79" s="1637"/>
      <c r="J79" s="1637"/>
      <c r="K79" s="49"/>
      <c r="L79" s="49"/>
    </row>
    <row r="80" spans="1:12" x14ac:dyDescent="0.25">
      <c r="A80" s="49"/>
      <c r="B80" s="1329"/>
      <c r="C80" s="168"/>
      <c r="D80" s="1329" t="s">
        <v>124</v>
      </c>
      <c r="E80" s="168"/>
      <c r="F80" s="168"/>
      <c r="G80" s="297" t="str">
        <f t="shared" si="1"/>
        <v/>
      </c>
      <c r="H80" s="1637"/>
      <c r="I80" s="1637"/>
      <c r="J80" s="1637"/>
      <c r="K80" s="49"/>
      <c r="L80" s="49"/>
    </row>
    <row r="81" spans="1:13" x14ac:dyDescent="0.25">
      <c r="A81" s="49"/>
      <c r="B81" s="1329"/>
      <c r="C81" s="168"/>
      <c r="D81" s="1329" t="s">
        <v>124</v>
      </c>
      <c r="E81" s="168"/>
      <c r="F81" s="168"/>
      <c r="G81" s="297" t="str">
        <f t="shared" si="1"/>
        <v/>
      </c>
      <c r="H81" s="1637"/>
      <c r="I81" s="1637"/>
      <c r="J81" s="1637"/>
      <c r="K81" s="49"/>
      <c r="L81" s="49"/>
    </row>
    <row r="82" spans="1:13" ht="16.5" customHeight="1" x14ac:dyDescent="0.25">
      <c r="A82" s="49"/>
      <c r="B82" s="50"/>
      <c r="C82" s="50"/>
      <c r="D82" s="50"/>
      <c r="E82" s="50"/>
      <c r="F82" s="49"/>
      <c r="G82" s="49"/>
      <c r="H82" s="49"/>
      <c r="I82" s="49"/>
      <c r="J82" s="49"/>
      <c r="K82" s="49"/>
      <c r="L82" s="49"/>
    </row>
    <row r="83" spans="1:13" ht="18" customHeight="1" x14ac:dyDescent="0.25">
      <c r="A83" s="49"/>
      <c r="B83" s="2039" t="s">
        <v>224</v>
      </c>
      <c r="C83" s="2039"/>
      <c r="D83" s="79" t="str">
        <f>IF(COUNTBLANK(G72:G81)=10,"",IF(COUNTIF(G72:G81,"No")=0,"Yes","No"))</f>
        <v/>
      </c>
      <c r="E83" s="49"/>
      <c r="F83" s="49"/>
      <c r="G83" s="49"/>
      <c r="H83" s="49"/>
      <c r="I83" s="49"/>
      <c r="J83" s="49"/>
      <c r="K83" s="49"/>
      <c r="L83" s="49"/>
    </row>
    <row r="84" spans="1:13" ht="20.25" customHeight="1" x14ac:dyDescent="0.25">
      <c r="A84" s="49"/>
      <c r="B84" s="50"/>
      <c r="C84" s="50"/>
      <c r="D84" s="50"/>
      <c r="E84" s="49"/>
      <c r="F84" s="49"/>
      <c r="G84" s="49"/>
      <c r="H84" s="49"/>
      <c r="I84" s="49"/>
      <c r="J84" s="49"/>
      <c r="K84" s="49"/>
      <c r="L84" s="49"/>
    </row>
    <row r="85" spans="1:13" ht="16.5" customHeight="1" x14ac:dyDescent="0.25">
      <c r="A85" s="2068" t="s">
        <v>186</v>
      </c>
      <c r="B85" s="2068"/>
      <c r="C85" s="2068"/>
      <c r="D85" s="50"/>
      <c r="E85" s="50"/>
      <c r="F85" s="50"/>
      <c r="G85" s="50"/>
      <c r="H85" s="50"/>
      <c r="I85" s="50"/>
      <c r="J85" s="50"/>
      <c r="K85" s="50"/>
      <c r="L85" s="50"/>
    </row>
    <row r="86" spans="1:13" x14ac:dyDescent="0.25">
      <c r="A86" s="49"/>
      <c r="B86" s="50"/>
      <c r="C86" s="50"/>
      <c r="D86" s="50"/>
      <c r="E86" s="49"/>
      <c r="F86" s="49"/>
      <c r="G86" s="49"/>
      <c r="H86" s="49"/>
      <c r="I86" s="49"/>
      <c r="J86" s="49"/>
      <c r="K86" s="49"/>
      <c r="L86" s="49"/>
    </row>
    <row r="87" spans="1:13" ht="21" customHeight="1" x14ac:dyDescent="0.25">
      <c r="A87" s="49"/>
      <c r="B87" s="2035" t="s">
        <v>190</v>
      </c>
      <c r="C87" s="2036"/>
      <c r="D87" s="2036"/>
      <c r="E87" s="2036"/>
      <c r="F87" s="2036"/>
      <c r="G87" s="1332" t="s">
        <v>1737</v>
      </c>
      <c r="H87" s="2030" t="s">
        <v>1738</v>
      </c>
      <c r="I87" s="2030"/>
      <c r="J87" s="49"/>
      <c r="K87" s="49"/>
      <c r="L87" s="49"/>
    </row>
    <row r="88" spans="1:13" ht="30" customHeight="1" x14ac:dyDescent="0.25">
      <c r="A88" s="49"/>
      <c r="B88" s="1576" t="s">
        <v>2617</v>
      </c>
      <c r="C88" s="1577"/>
      <c r="D88" s="1577"/>
      <c r="E88" s="1577"/>
      <c r="F88" s="1577"/>
      <c r="G88" s="1329" t="s">
        <v>124</v>
      </c>
      <c r="H88" s="1763"/>
      <c r="I88" s="1841"/>
      <c r="J88" s="49"/>
      <c r="K88" s="49"/>
      <c r="L88" s="49"/>
      <c r="M88" s="38" t="str">
        <f>IF(OR(B88="/",B88="No evidence required at this submission stage"),"Yes",IF(G88="Submitted","Yes","No"))</f>
        <v>No</v>
      </c>
    </row>
    <row r="89" spans="1:13" ht="30" customHeight="1" x14ac:dyDescent="0.25">
      <c r="A89" s="49"/>
      <c r="B89" s="1576" t="s">
        <v>2618</v>
      </c>
      <c r="C89" s="1577"/>
      <c r="D89" s="1577"/>
      <c r="E89" s="1577"/>
      <c r="F89" s="1577"/>
      <c r="G89" s="1329" t="s">
        <v>124</v>
      </c>
      <c r="H89" s="1763"/>
      <c r="I89" s="1841"/>
      <c r="J89" s="49"/>
      <c r="K89" s="49"/>
      <c r="L89" s="49"/>
      <c r="M89" s="38" t="str">
        <f>IF(OR(B89="/",B89="No evidence required at this submission stage"),"Yes",IF(G89="Submitted","Yes","No"))</f>
        <v>No</v>
      </c>
    </row>
    <row r="90" spans="1:13" ht="20.25" customHeight="1" x14ac:dyDescent="0.25">
      <c r="A90" s="49"/>
      <c r="B90" s="50"/>
      <c r="C90" s="50"/>
      <c r="D90" s="50"/>
      <c r="E90" s="49"/>
      <c r="F90" s="49"/>
      <c r="G90" s="49"/>
      <c r="H90" s="49"/>
      <c r="I90" s="49"/>
      <c r="J90" s="49"/>
      <c r="K90" s="49"/>
      <c r="L90" s="49"/>
    </row>
    <row r="91" spans="1:13" ht="16.5" customHeight="1" x14ac:dyDescent="0.25">
      <c r="A91" s="2068" t="s">
        <v>22</v>
      </c>
      <c r="B91" s="2068"/>
      <c r="C91" s="2068"/>
      <c r="D91" s="50"/>
      <c r="E91" s="49"/>
      <c r="F91" s="49"/>
      <c r="G91" s="49"/>
      <c r="H91" s="49"/>
      <c r="I91" s="49"/>
      <c r="J91" s="49"/>
      <c r="K91" s="49"/>
      <c r="L91" s="49"/>
    </row>
    <row r="92" spans="1:13" ht="16.5" customHeight="1" x14ac:dyDescent="0.25">
      <c r="A92" s="49"/>
      <c r="B92" s="50"/>
      <c r="C92" s="50"/>
      <c r="D92" s="50"/>
      <c r="E92" s="49"/>
      <c r="F92" s="49"/>
      <c r="G92" s="49"/>
      <c r="H92" s="49"/>
      <c r="I92" s="49"/>
      <c r="J92" s="49"/>
      <c r="K92" s="49"/>
      <c r="L92" s="49"/>
    </row>
    <row r="93" spans="1:13" ht="18" customHeight="1" x14ac:dyDescent="0.25">
      <c r="A93" s="49"/>
      <c r="B93" s="243" t="s">
        <v>53</v>
      </c>
      <c r="C93" s="1335">
        <f>IF(D83="Yes",1,0)</f>
        <v>0</v>
      </c>
      <c r="D93" s="50"/>
      <c r="E93" s="49"/>
      <c r="F93" s="49"/>
      <c r="G93" s="49"/>
      <c r="H93" s="49"/>
      <c r="I93" s="49"/>
      <c r="J93" s="49"/>
      <c r="K93" s="49"/>
      <c r="L93" s="49"/>
    </row>
    <row r="94" spans="1:13" ht="18" customHeight="1" x14ac:dyDescent="0.25">
      <c r="A94" s="49"/>
      <c r="B94" s="244" t="s">
        <v>492</v>
      </c>
      <c r="C94" s="1335" t="str">
        <f>IF(AND(COUNTIF(M88:M89,"Yes")=2,C93&gt;0),"Yes","No")</f>
        <v>No</v>
      </c>
      <c r="D94" s="50"/>
      <c r="E94" s="49"/>
      <c r="F94" s="49"/>
      <c r="G94" s="49"/>
      <c r="H94" s="49"/>
      <c r="I94" s="49"/>
      <c r="J94" s="49"/>
      <c r="K94" s="49"/>
      <c r="L94" s="49"/>
    </row>
    <row r="95" spans="1:13" ht="21.75" customHeight="1" x14ac:dyDescent="0.25">
      <c r="A95" s="49"/>
      <c r="B95" s="50"/>
      <c r="C95" s="50"/>
      <c r="D95" s="50"/>
      <c r="E95" s="49"/>
      <c r="F95" s="49"/>
      <c r="G95" s="49"/>
      <c r="H95" s="49"/>
      <c r="I95" s="49"/>
      <c r="J95" s="49"/>
      <c r="K95" s="49"/>
      <c r="L95" s="49"/>
    </row>
    <row r="96" spans="1:13" ht="18.75" customHeight="1" x14ac:dyDescent="0.25">
      <c r="A96" s="2016" t="s">
        <v>2621</v>
      </c>
      <c r="B96" s="2016"/>
      <c r="C96" s="2016"/>
      <c r="D96" s="2016"/>
      <c r="E96" s="2016"/>
      <c r="F96" s="2016"/>
      <c r="G96" s="2016"/>
      <c r="H96" s="2016"/>
      <c r="I96" s="2016"/>
      <c r="J96" s="2016"/>
      <c r="K96" s="2016"/>
      <c r="L96" s="2016"/>
    </row>
    <row r="97" spans="1:13" x14ac:dyDescent="0.25">
      <c r="A97" s="49"/>
      <c r="B97" s="49"/>
      <c r="C97" s="49"/>
      <c r="D97" s="49"/>
      <c r="E97" s="50"/>
      <c r="F97" s="49"/>
      <c r="G97" s="49"/>
      <c r="H97" s="49"/>
      <c r="I97" s="49"/>
      <c r="J97" s="49"/>
      <c r="K97" s="49"/>
      <c r="L97" s="49"/>
    </row>
    <row r="98" spans="1:13" ht="16.5" customHeight="1" x14ac:dyDescent="0.25">
      <c r="A98" s="2068" t="s">
        <v>245</v>
      </c>
      <c r="B98" s="2068"/>
      <c r="C98" s="2068"/>
      <c r="D98" s="49"/>
      <c r="E98" s="50"/>
      <c r="F98" s="49"/>
      <c r="G98" s="49"/>
      <c r="H98" s="49"/>
      <c r="I98" s="49"/>
      <c r="J98" s="49"/>
      <c r="K98" s="49"/>
      <c r="L98" s="49"/>
    </row>
    <row r="99" spans="1:13" ht="14.25" customHeight="1" x14ac:dyDescent="0.25">
      <c r="A99" s="49"/>
      <c r="B99" s="49"/>
      <c r="C99" s="49"/>
      <c r="D99" s="49"/>
      <c r="E99" s="50"/>
      <c r="F99" s="49"/>
      <c r="G99" s="49"/>
      <c r="H99" s="49"/>
      <c r="I99" s="49"/>
      <c r="J99" s="49"/>
      <c r="K99" s="49"/>
      <c r="L99" s="49"/>
    </row>
    <row r="100" spans="1:13" x14ac:dyDescent="0.25">
      <c r="A100" s="49"/>
      <c r="B100" s="641" t="s">
        <v>2622</v>
      </c>
      <c r="C100" s="50"/>
      <c r="D100" s="50"/>
      <c r="E100" s="50"/>
      <c r="F100" s="49"/>
      <c r="G100" s="49"/>
      <c r="H100" s="49"/>
      <c r="I100" s="49"/>
      <c r="J100" s="49"/>
      <c r="K100" s="49"/>
      <c r="L100" s="49"/>
    </row>
    <row r="101" spans="1:13" ht="18" customHeight="1" x14ac:dyDescent="0.25">
      <c r="A101" s="49"/>
      <c r="B101" s="50"/>
      <c r="C101" s="50"/>
      <c r="D101" s="50"/>
      <c r="E101" s="50"/>
      <c r="F101" s="49"/>
      <c r="G101" s="49"/>
      <c r="H101" s="49"/>
      <c r="I101" s="49"/>
      <c r="J101" s="49"/>
      <c r="K101" s="49"/>
      <c r="L101" s="49"/>
    </row>
    <row r="102" spans="1:13" x14ac:dyDescent="0.25">
      <c r="A102" s="49"/>
      <c r="B102" s="566" t="s">
        <v>2623</v>
      </c>
      <c r="C102" s="50"/>
      <c r="D102" s="50"/>
      <c r="E102" s="50"/>
      <c r="F102" s="49"/>
      <c r="G102" s="49"/>
      <c r="H102" s="49"/>
      <c r="I102" s="49"/>
      <c r="J102" s="49"/>
      <c r="K102" s="49"/>
      <c r="L102" s="49"/>
    </row>
    <row r="103" spans="1:13" x14ac:dyDescent="0.25">
      <c r="A103" s="49"/>
      <c r="B103" s="566" t="s">
        <v>2624</v>
      </c>
      <c r="C103" s="50"/>
      <c r="D103" s="50"/>
      <c r="E103" s="50"/>
      <c r="F103" s="49"/>
      <c r="G103" s="49"/>
      <c r="H103" s="49"/>
      <c r="I103" s="49"/>
      <c r="J103" s="49"/>
      <c r="K103" s="49"/>
      <c r="L103" s="49"/>
    </row>
    <row r="104" spans="1:13" ht="18" customHeight="1" x14ac:dyDescent="0.25">
      <c r="A104" s="49"/>
      <c r="B104" s="50"/>
      <c r="C104" s="50"/>
      <c r="D104" s="50"/>
      <c r="E104" s="50"/>
      <c r="F104" s="49"/>
      <c r="G104" s="49"/>
      <c r="H104" s="49"/>
      <c r="I104" s="49"/>
      <c r="J104" s="49"/>
      <c r="K104" s="49"/>
      <c r="L104" s="49"/>
    </row>
    <row r="105" spans="1:13" ht="15" customHeight="1" x14ac:dyDescent="0.25">
      <c r="A105" s="49"/>
      <c r="B105" s="1597" t="s">
        <v>2625</v>
      </c>
      <c r="C105" s="1597"/>
      <c r="D105" s="1597"/>
      <c r="E105" s="1597"/>
      <c r="F105" s="1597"/>
      <c r="G105" s="1597"/>
      <c r="H105" s="49"/>
      <c r="I105" s="49"/>
      <c r="J105" s="49"/>
      <c r="K105" s="49"/>
      <c r="L105" s="49"/>
    </row>
    <row r="106" spans="1:13" ht="12" customHeight="1" x14ac:dyDescent="0.25">
      <c r="A106" s="49"/>
      <c r="B106" s="50"/>
      <c r="C106" s="50"/>
      <c r="D106" s="50"/>
      <c r="E106" s="49"/>
      <c r="F106" s="49"/>
      <c r="G106" s="49"/>
      <c r="H106" s="49"/>
      <c r="I106" s="49"/>
      <c r="J106" s="49"/>
      <c r="K106" s="49"/>
      <c r="L106" s="49"/>
    </row>
    <row r="107" spans="1:13" ht="27" customHeight="1" x14ac:dyDescent="0.25">
      <c r="A107" s="49"/>
      <c r="B107" s="1334" t="s">
        <v>213</v>
      </c>
      <c r="C107" s="1331" t="s">
        <v>2626</v>
      </c>
      <c r="D107" s="1331" t="s">
        <v>2616</v>
      </c>
      <c r="E107" s="1331" t="s">
        <v>624</v>
      </c>
      <c r="F107" s="1331" t="s">
        <v>214</v>
      </c>
      <c r="G107" s="1332" t="s">
        <v>172</v>
      </c>
      <c r="H107" s="2046" t="s">
        <v>30</v>
      </c>
      <c r="I107" s="2046"/>
      <c r="J107" s="2069"/>
      <c r="K107" s="49"/>
      <c r="L107" s="49"/>
      <c r="M107" s="49"/>
    </row>
    <row r="108" spans="1:13" x14ac:dyDescent="0.25">
      <c r="A108" s="49"/>
      <c r="B108" s="1329"/>
      <c r="C108" s="1333"/>
      <c r="D108" s="1329" t="s">
        <v>124</v>
      </c>
      <c r="E108" s="1333"/>
      <c r="F108" s="1333"/>
      <c r="G108" s="297" t="str">
        <f>IF(OR(D108="",D108="Select"),"",IF(OR(D108="Inherently non-emitting product",D108="Certified product"),"Yes",IF(AND(E108&lt;&gt;"",F108&lt;&gt;""),IF(E108&lt;F108,"Yes","No"),"No")))</f>
        <v/>
      </c>
      <c r="H108" s="1637"/>
      <c r="I108" s="1637"/>
      <c r="J108" s="1637"/>
      <c r="K108" s="49"/>
      <c r="L108" s="49"/>
      <c r="M108" s="49"/>
    </row>
    <row r="109" spans="1:13" x14ac:dyDescent="0.25">
      <c r="A109" s="49"/>
      <c r="B109" s="1329"/>
      <c r="C109" s="1333"/>
      <c r="D109" s="1329" t="s">
        <v>124</v>
      </c>
      <c r="E109" s="1333"/>
      <c r="F109" s="1333"/>
      <c r="G109" s="297" t="str">
        <f t="shared" ref="G109:G117" si="2">IF(OR(D109="",D109="Select"),"",IF(OR(D109="Inherently non-emitting product",D109="Certified product"),"Yes",IF(AND(E109&lt;&gt;"",F109&lt;&gt;""),IF(E109&lt;F109,"Yes","No"),"No")))</f>
        <v/>
      </c>
      <c r="H109" s="1637"/>
      <c r="I109" s="1637"/>
      <c r="J109" s="1637"/>
      <c r="K109" s="49"/>
      <c r="L109" s="49"/>
      <c r="M109" s="49"/>
    </row>
    <row r="110" spans="1:13" x14ac:dyDescent="0.25">
      <c r="A110" s="49"/>
      <c r="B110" s="1329"/>
      <c r="C110" s="1333"/>
      <c r="D110" s="1329" t="s">
        <v>124</v>
      </c>
      <c r="E110" s="1333"/>
      <c r="F110" s="1333"/>
      <c r="G110" s="297" t="str">
        <f t="shared" si="2"/>
        <v/>
      </c>
      <c r="H110" s="1637"/>
      <c r="I110" s="1637"/>
      <c r="J110" s="1637"/>
      <c r="K110" s="49"/>
      <c r="L110" s="49"/>
      <c r="M110" s="49"/>
    </row>
    <row r="111" spans="1:13" x14ac:dyDescent="0.25">
      <c r="A111" s="49"/>
      <c r="B111" s="1329"/>
      <c r="C111" s="1333"/>
      <c r="D111" s="1329" t="s">
        <v>124</v>
      </c>
      <c r="E111" s="1333"/>
      <c r="F111" s="1333"/>
      <c r="G111" s="297" t="str">
        <f t="shared" si="2"/>
        <v/>
      </c>
      <c r="H111" s="1637"/>
      <c r="I111" s="1637"/>
      <c r="J111" s="1637"/>
      <c r="K111" s="49"/>
      <c r="L111" s="49"/>
      <c r="M111" s="49"/>
    </row>
    <row r="112" spans="1:13" x14ac:dyDescent="0.25">
      <c r="A112" s="49"/>
      <c r="B112" s="1329"/>
      <c r="C112" s="1333"/>
      <c r="D112" s="1329" t="s">
        <v>124</v>
      </c>
      <c r="E112" s="1333"/>
      <c r="F112" s="1333"/>
      <c r="G112" s="297" t="str">
        <f t="shared" si="2"/>
        <v/>
      </c>
      <c r="H112" s="1637"/>
      <c r="I112" s="1637"/>
      <c r="J112" s="1637"/>
      <c r="K112" s="49"/>
      <c r="L112" s="49"/>
      <c r="M112" s="49"/>
    </row>
    <row r="113" spans="1:13" x14ac:dyDescent="0.25">
      <c r="A113" s="49"/>
      <c r="B113" s="1329"/>
      <c r="C113" s="1333"/>
      <c r="D113" s="1329" t="s">
        <v>124</v>
      </c>
      <c r="E113" s="1333"/>
      <c r="F113" s="1333"/>
      <c r="G113" s="297" t="str">
        <f t="shared" si="2"/>
        <v/>
      </c>
      <c r="H113" s="1637"/>
      <c r="I113" s="1637"/>
      <c r="J113" s="1637"/>
      <c r="K113" s="49"/>
      <c r="L113" s="49"/>
      <c r="M113" s="49"/>
    </row>
    <row r="114" spans="1:13" x14ac:dyDescent="0.25">
      <c r="A114" s="49"/>
      <c r="B114" s="1329"/>
      <c r="C114" s="1333"/>
      <c r="D114" s="1329" t="s">
        <v>124</v>
      </c>
      <c r="E114" s="1333"/>
      <c r="F114" s="1333"/>
      <c r="G114" s="297" t="str">
        <f t="shared" si="2"/>
        <v/>
      </c>
      <c r="H114" s="1637"/>
      <c r="I114" s="1637"/>
      <c r="J114" s="1637"/>
      <c r="K114" s="49"/>
      <c r="L114" s="49"/>
      <c r="M114" s="49"/>
    </row>
    <row r="115" spans="1:13" x14ac:dyDescent="0.25">
      <c r="A115" s="49"/>
      <c r="B115" s="1329"/>
      <c r="C115" s="168"/>
      <c r="D115" s="1329" t="s">
        <v>124</v>
      </c>
      <c r="E115" s="168"/>
      <c r="F115" s="168"/>
      <c r="G115" s="297" t="str">
        <f t="shared" si="2"/>
        <v/>
      </c>
      <c r="H115" s="1637"/>
      <c r="I115" s="1637"/>
      <c r="J115" s="1637"/>
      <c r="K115" s="49"/>
      <c r="L115" s="49"/>
      <c r="M115" s="49"/>
    </row>
    <row r="116" spans="1:13" x14ac:dyDescent="0.25">
      <c r="A116" s="49"/>
      <c r="B116" s="1329"/>
      <c r="C116" s="168"/>
      <c r="D116" s="1329" t="s">
        <v>124</v>
      </c>
      <c r="E116" s="168"/>
      <c r="F116" s="168"/>
      <c r="G116" s="297" t="str">
        <f t="shared" si="2"/>
        <v/>
      </c>
      <c r="H116" s="1637"/>
      <c r="I116" s="1637"/>
      <c r="J116" s="1637"/>
      <c r="K116" s="49"/>
      <c r="L116" s="49"/>
      <c r="M116" s="49"/>
    </row>
    <row r="117" spans="1:13" x14ac:dyDescent="0.25">
      <c r="A117" s="49"/>
      <c r="B117" s="1329"/>
      <c r="C117" s="168"/>
      <c r="D117" s="1329" t="s">
        <v>124</v>
      </c>
      <c r="E117" s="168"/>
      <c r="F117" s="168"/>
      <c r="G117" s="297" t="str">
        <f t="shared" si="2"/>
        <v/>
      </c>
      <c r="H117" s="1637"/>
      <c r="I117" s="1637"/>
      <c r="J117" s="1637"/>
      <c r="K117" s="49"/>
      <c r="L117" s="49"/>
      <c r="M117" s="49"/>
    </row>
    <row r="118" spans="1:13" ht="16.5" customHeight="1" x14ac:dyDescent="0.25">
      <c r="A118" s="49"/>
      <c r="B118" s="50"/>
      <c r="C118" s="50"/>
      <c r="D118" s="50"/>
      <c r="E118" s="50"/>
      <c r="F118" s="49"/>
      <c r="G118" s="49"/>
      <c r="H118" s="49"/>
      <c r="I118" s="49"/>
      <c r="J118" s="49"/>
      <c r="K118" s="49"/>
      <c r="L118" s="49"/>
    </row>
    <row r="119" spans="1:13" ht="18" customHeight="1" x14ac:dyDescent="0.25">
      <c r="A119" s="49"/>
      <c r="B119" s="2039" t="s">
        <v>2627</v>
      </c>
      <c r="C119" s="2039"/>
      <c r="D119" s="79" t="str">
        <f>IF(COUNTBLANK(G108:G117)=10,"",IF(COUNTIF(G108:G117,"No")=0,"Yes","No"))</f>
        <v/>
      </c>
      <c r="E119" s="49"/>
      <c r="F119" s="49"/>
      <c r="G119" s="49"/>
      <c r="H119" s="49"/>
      <c r="I119" s="49"/>
      <c r="J119" s="49"/>
      <c r="K119" s="49"/>
      <c r="L119" s="49"/>
    </row>
    <row r="120" spans="1:13" ht="18.75" customHeight="1" x14ac:dyDescent="0.25">
      <c r="A120" s="49"/>
      <c r="B120" s="50"/>
      <c r="C120" s="50"/>
      <c r="D120" s="50"/>
      <c r="E120" s="49"/>
      <c r="F120" s="49"/>
      <c r="G120" s="49"/>
      <c r="H120" s="49"/>
      <c r="I120" s="49"/>
      <c r="J120" s="49"/>
      <c r="K120" s="49"/>
      <c r="L120" s="49"/>
    </row>
    <row r="121" spans="1:13" ht="16.5" customHeight="1" x14ac:dyDescent="0.25">
      <c r="A121" s="2068" t="s">
        <v>186</v>
      </c>
      <c r="B121" s="2068"/>
      <c r="C121" s="2068"/>
      <c r="D121" s="50"/>
      <c r="E121" s="50"/>
      <c r="F121" s="50"/>
      <c r="G121" s="50"/>
      <c r="H121" s="50"/>
      <c r="I121" s="50"/>
      <c r="J121" s="50"/>
      <c r="K121" s="50"/>
      <c r="L121" s="50"/>
    </row>
    <row r="122" spans="1:13" x14ac:dyDescent="0.25">
      <c r="A122" s="49"/>
      <c r="B122" s="50"/>
      <c r="C122" s="50"/>
      <c r="D122" s="50"/>
      <c r="E122" s="49"/>
      <c r="F122" s="49"/>
      <c r="G122" s="49"/>
      <c r="H122" s="49"/>
      <c r="I122" s="49"/>
      <c r="J122" s="49"/>
      <c r="K122" s="49"/>
      <c r="L122" s="49"/>
    </row>
    <row r="123" spans="1:13" ht="21" customHeight="1" x14ac:dyDescent="0.25">
      <c r="A123" s="49"/>
      <c r="B123" s="2035" t="s">
        <v>190</v>
      </c>
      <c r="C123" s="2036"/>
      <c r="D123" s="2036"/>
      <c r="E123" s="2036"/>
      <c r="F123" s="2036"/>
      <c r="G123" s="1332" t="s">
        <v>1737</v>
      </c>
      <c r="H123" s="2030" t="s">
        <v>1738</v>
      </c>
      <c r="I123" s="2030"/>
      <c r="J123" s="49"/>
      <c r="K123" s="49"/>
      <c r="L123" s="49"/>
    </row>
    <row r="124" spans="1:13" ht="30" customHeight="1" x14ac:dyDescent="0.25">
      <c r="A124" s="49"/>
      <c r="B124" s="1576" t="s">
        <v>2617</v>
      </c>
      <c r="C124" s="1577"/>
      <c r="D124" s="1577"/>
      <c r="E124" s="1577"/>
      <c r="F124" s="1577"/>
      <c r="G124" s="1329" t="s">
        <v>124</v>
      </c>
      <c r="H124" s="1763"/>
      <c r="I124" s="1841"/>
      <c r="J124" s="49"/>
      <c r="K124" s="49"/>
      <c r="L124" s="49"/>
      <c r="M124" s="38" t="str">
        <f>IF(OR(B124="/",B124="No evidence required at this submission stage"),"Yes",IF(G124="Submitted","Yes","No"))</f>
        <v>No</v>
      </c>
    </row>
    <row r="125" spans="1:13" ht="30" customHeight="1" x14ac:dyDescent="0.25">
      <c r="A125" s="49"/>
      <c r="B125" s="1576" t="s">
        <v>2618</v>
      </c>
      <c r="C125" s="1577"/>
      <c r="D125" s="1577"/>
      <c r="E125" s="1577"/>
      <c r="F125" s="1577"/>
      <c r="G125" s="1329" t="s">
        <v>124</v>
      </c>
      <c r="H125" s="1763"/>
      <c r="I125" s="1841"/>
      <c r="J125" s="49"/>
      <c r="K125" s="49"/>
      <c r="L125" s="49"/>
      <c r="M125" s="38" t="str">
        <f>IF(OR(B125="/",B125="No evidence required at this submission stage"),"Yes",IF(G125="Submitted","Yes","No"))</f>
        <v>No</v>
      </c>
    </row>
    <row r="126" spans="1:13" ht="19.5" customHeight="1" x14ac:dyDescent="0.25">
      <c r="A126" s="49"/>
      <c r="B126" s="50"/>
      <c r="C126" s="50"/>
      <c r="D126" s="50"/>
      <c r="E126" s="49"/>
      <c r="F126" s="49"/>
      <c r="G126" s="49"/>
      <c r="H126" s="49"/>
      <c r="I126" s="49"/>
      <c r="J126" s="49"/>
      <c r="K126" s="49"/>
      <c r="L126" s="49"/>
    </row>
    <row r="127" spans="1:13" ht="16.5" customHeight="1" x14ac:dyDescent="0.25">
      <c r="A127" s="2068" t="s">
        <v>22</v>
      </c>
      <c r="B127" s="2068"/>
      <c r="C127" s="2068"/>
      <c r="D127" s="50"/>
      <c r="E127" s="49"/>
      <c r="F127" s="49"/>
      <c r="G127" s="49"/>
      <c r="H127" s="49"/>
      <c r="I127" s="49"/>
      <c r="J127" s="49"/>
      <c r="K127" s="49"/>
      <c r="L127" s="49"/>
    </row>
    <row r="128" spans="1:13" ht="16.5" customHeight="1" x14ac:dyDescent="0.25">
      <c r="A128" s="49"/>
      <c r="B128" s="50"/>
      <c r="C128" s="50"/>
      <c r="D128" s="50"/>
      <c r="E128" s="49"/>
      <c r="F128" s="49"/>
      <c r="G128" s="49"/>
      <c r="H128" s="49"/>
      <c r="I128" s="49"/>
      <c r="J128" s="49"/>
      <c r="K128" s="49"/>
      <c r="L128" s="49"/>
    </row>
    <row r="129" spans="1:12" ht="18" customHeight="1" x14ac:dyDescent="0.25">
      <c r="A129" s="49"/>
      <c r="B129" s="243" t="s">
        <v>53</v>
      </c>
      <c r="C129" s="1335">
        <f>IF(D119="Yes",1,0)</f>
        <v>0</v>
      </c>
      <c r="D129" s="50"/>
      <c r="E129" s="49"/>
      <c r="F129" s="49"/>
      <c r="G129" s="49"/>
      <c r="H129" s="49"/>
      <c r="I129" s="49"/>
      <c r="J129" s="49"/>
      <c r="K129" s="49"/>
      <c r="L129" s="49"/>
    </row>
    <row r="130" spans="1:12" ht="18" customHeight="1" x14ac:dyDescent="0.25">
      <c r="A130" s="49"/>
      <c r="B130" s="244" t="s">
        <v>492</v>
      </c>
      <c r="C130" s="1335" t="str">
        <f>IF(AND(COUNTIF(M124:M125,"Yes")=2,C129&gt;0),"Yes","No")</f>
        <v>No</v>
      </c>
      <c r="D130" s="50"/>
      <c r="E130" s="49"/>
      <c r="F130" s="49"/>
      <c r="G130" s="49"/>
      <c r="H130" s="49"/>
      <c r="I130" s="49"/>
      <c r="J130" s="49"/>
      <c r="K130" s="49"/>
      <c r="L130" s="49"/>
    </row>
    <row r="131" spans="1:12" ht="21" customHeight="1" x14ac:dyDescent="0.25">
      <c r="A131" s="49"/>
      <c r="B131" s="50"/>
      <c r="C131" s="50"/>
      <c r="D131" s="50"/>
      <c r="E131" s="49"/>
      <c r="F131" s="49"/>
      <c r="G131" s="49"/>
      <c r="H131" s="49"/>
      <c r="I131" s="49"/>
      <c r="J131" s="49"/>
      <c r="K131" s="49"/>
      <c r="L131" s="49"/>
    </row>
    <row r="132" spans="1:12" ht="18" customHeight="1" x14ac:dyDescent="0.25">
      <c r="A132" s="2016" t="s">
        <v>2628</v>
      </c>
      <c r="B132" s="2016"/>
      <c r="C132" s="2016"/>
      <c r="D132" s="2016"/>
      <c r="E132" s="2016"/>
      <c r="F132" s="2016"/>
      <c r="G132" s="2016"/>
      <c r="H132" s="2016"/>
      <c r="I132" s="2016"/>
      <c r="J132" s="2016"/>
      <c r="K132" s="2016"/>
      <c r="L132" s="2016"/>
    </row>
    <row r="133" spans="1:12" x14ac:dyDescent="0.25">
      <c r="A133" s="49"/>
      <c r="B133" s="49"/>
      <c r="C133" s="49"/>
      <c r="D133" s="49"/>
      <c r="E133" s="50"/>
      <c r="F133" s="49"/>
      <c r="G133" s="49"/>
      <c r="H133" s="49"/>
      <c r="I133" s="49"/>
      <c r="J133" s="49"/>
      <c r="K133" s="49"/>
      <c r="L133" s="49"/>
    </row>
    <row r="134" spans="1:12" ht="16.5" customHeight="1" x14ac:dyDescent="0.25">
      <c r="A134" s="2068" t="s">
        <v>245</v>
      </c>
      <c r="B134" s="2068"/>
      <c r="C134" s="2068"/>
      <c r="D134" s="49"/>
      <c r="E134" s="50"/>
      <c r="F134" s="49"/>
      <c r="G134" s="49"/>
      <c r="H134" s="49"/>
      <c r="I134" s="49"/>
      <c r="J134" s="49"/>
      <c r="K134" s="49"/>
      <c r="L134" s="49"/>
    </row>
    <row r="135" spans="1:12" x14ac:dyDescent="0.25">
      <c r="A135" s="49"/>
      <c r="B135" s="50"/>
      <c r="C135" s="50"/>
      <c r="D135" s="50"/>
      <c r="E135" s="49"/>
      <c r="F135" s="49"/>
      <c r="G135" s="49"/>
      <c r="H135" s="49"/>
      <c r="I135" s="49"/>
      <c r="J135" s="49"/>
      <c r="K135" s="49"/>
      <c r="L135" s="49"/>
    </row>
    <row r="136" spans="1:12" x14ac:dyDescent="0.25">
      <c r="A136" s="49"/>
      <c r="B136" s="1579" t="s">
        <v>2629</v>
      </c>
      <c r="C136" s="1580"/>
      <c r="D136" s="1580"/>
      <c r="E136" s="1580"/>
      <c r="F136" s="1580"/>
      <c r="G136" s="1580"/>
      <c r="H136" s="1581"/>
      <c r="I136" s="49"/>
      <c r="J136" s="49"/>
      <c r="K136" s="49"/>
      <c r="L136" s="49"/>
    </row>
    <row r="137" spans="1:12" x14ac:dyDescent="0.25">
      <c r="A137" s="49"/>
      <c r="B137" s="2070" t="s">
        <v>2630</v>
      </c>
      <c r="C137" s="1780"/>
      <c r="D137" s="1780"/>
      <c r="E137" s="1780"/>
      <c r="F137" s="1780"/>
      <c r="G137" s="1780"/>
      <c r="H137" s="2071"/>
      <c r="I137" s="49"/>
      <c r="J137" s="49"/>
      <c r="K137" s="49"/>
      <c r="L137" s="49"/>
    </row>
    <row r="138" spans="1:12" x14ac:dyDescent="0.25">
      <c r="A138" s="49"/>
      <c r="B138" s="2070" t="s">
        <v>2631</v>
      </c>
      <c r="C138" s="1780"/>
      <c r="D138" s="1780"/>
      <c r="E138" s="1780"/>
      <c r="F138" s="1780"/>
      <c r="G138" s="1780"/>
      <c r="H138" s="2071"/>
      <c r="I138" s="49"/>
      <c r="J138" s="49"/>
      <c r="K138" s="49"/>
      <c r="L138" s="49"/>
    </row>
    <row r="139" spans="1:12" x14ac:dyDescent="0.25">
      <c r="A139" s="49"/>
      <c r="B139" s="2070" t="s">
        <v>2632</v>
      </c>
      <c r="C139" s="1780"/>
      <c r="D139" s="1780"/>
      <c r="E139" s="1780"/>
      <c r="F139" s="1780"/>
      <c r="G139" s="1780"/>
      <c r="H139" s="2071"/>
      <c r="I139" s="49"/>
      <c r="J139" s="49"/>
      <c r="K139" s="49"/>
      <c r="L139" s="49"/>
    </row>
    <row r="140" spans="1:12" x14ac:dyDescent="0.25">
      <c r="A140" s="49"/>
      <c r="B140" s="2070" t="s">
        <v>2633</v>
      </c>
      <c r="C140" s="1780"/>
      <c r="D140" s="1780"/>
      <c r="E140" s="1780"/>
      <c r="F140" s="1780"/>
      <c r="G140" s="1780"/>
      <c r="H140" s="2071"/>
      <c r="I140" s="49"/>
      <c r="J140" s="49"/>
      <c r="K140" s="49"/>
      <c r="L140" s="49"/>
    </row>
    <row r="141" spans="1:12" x14ac:dyDescent="0.25">
      <c r="A141" s="49"/>
      <c r="B141" s="2070" t="s">
        <v>2634</v>
      </c>
      <c r="C141" s="1780"/>
      <c r="D141" s="1780"/>
      <c r="E141" s="1780"/>
      <c r="F141" s="1780"/>
      <c r="G141" s="1780"/>
      <c r="H141" s="2071"/>
      <c r="I141" s="49"/>
      <c r="J141" s="49"/>
      <c r="K141" s="49"/>
      <c r="L141" s="49"/>
    </row>
    <row r="142" spans="1:12" ht="15" customHeight="1" x14ac:dyDescent="0.25">
      <c r="A142" s="49"/>
      <c r="B142" s="2073" t="s">
        <v>2635</v>
      </c>
      <c r="C142" s="2074"/>
      <c r="D142" s="2074"/>
      <c r="E142" s="2074"/>
      <c r="F142" s="2074"/>
      <c r="G142" s="2074"/>
      <c r="H142" s="2075"/>
      <c r="I142" s="49"/>
      <c r="J142" s="49"/>
      <c r="K142" s="49"/>
      <c r="L142" s="49"/>
    </row>
    <row r="143" spans="1:12" ht="16.5" customHeight="1" x14ac:dyDescent="0.25">
      <c r="A143" s="49"/>
      <c r="B143" s="50"/>
      <c r="C143" s="50"/>
      <c r="D143" s="50"/>
      <c r="E143" s="49"/>
      <c r="F143" s="49"/>
      <c r="G143" s="49"/>
      <c r="H143" s="49"/>
      <c r="I143" s="49"/>
      <c r="J143" s="49"/>
      <c r="K143" s="49"/>
      <c r="L143" s="49"/>
    </row>
    <row r="144" spans="1:12" ht="16.5" customHeight="1" x14ac:dyDescent="0.25">
      <c r="A144" s="49"/>
      <c r="B144" s="566" t="s">
        <v>2636</v>
      </c>
      <c r="C144" s="50"/>
      <c r="D144" s="50"/>
      <c r="E144" s="49"/>
      <c r="F144" s="49"/>
      <c r="G144" s="49"/>
      <c r="H144" s="49"/>
      <c r="I144" s="49"/>
      <c r="J144" s="49"/>
      <c r="K144" s="49"/>
      <c r="L144" s="49"/>
    </row>
    <row r="145" spans="1:15" ht="16.5" customHeight="1" x14ac:dyDescent="0.25">
      <c r="A145" s="49"/>
      <c r="B145" s="566" t="s">
        <v>2637</v>
      </c>
      <c r="C145" s="50"/>
      <c r="D145" s="50"/>
      <c r="E145" s="49"/>
      <c r="F145" s="49"/>
      <c r="G145" s="49"/>
      <c r="H145" s="49"/>
      <c r="I145" s="49"/>
      <c r="J145" s="49"/>
      <c r="K145" s="49"/>
      <c r="L145" s="49"/>
    </row>
    <row r="146" spans="1:15" ht="16.5" customHeight="1" x14ac:dyDescent="0.25">
      <c r="A146" s="49"/>
      <c r="B146" s="50"/>
      <c r="C146" s="50"/>
      <c r="D146" s="50"/>
      <c r="E146" s="49"/>
      <c r="F146" s="49"/>
      <c r="G146" s="49"/>
      <c r="H146" s="49"/>
      <c r="I146" s="49"/>
      <c r="J146" s="49"/>
      <c r="K146" s="49"/>
      <c r="L146" s="49"/>
    </row>
    <row r="147" spans="1:15" ht="16.5" customHeight="1" x14ac:dyDescent="0.25">
      <c r="A147" s="49"/>
      <c r="B147" s="1597" t="s">
        <v>2638</v>
      </c>
      <c r="C147" s="1597"/>
      <c r="D147" s="1597"/>
      <c r="E147" s="1597"/>
      <c r="F147" s="1597"/>
      <c r="G147" s="1597"/>
      <c r="H147" s="1597"/>
      <c r="I147" s="49"/>
      <c r="J147" s="49"/>
      <c r="K147" s="49"/>
      <c r="L147" s="49"/>
    </row>
    <row r="148" spans="1:15" ht="12" customHeight="1" x14ac:dyDescent="0.25">
      <c r="A148" s="49"/>
      <c r="B148" s="50"/>
      <c r="C148" s="50"/>
      <c r="D148" s="50"/>
      <c r="E148" s="49"/>
      <c r="F148" s="49"/>
      <c r="G148" s="49"/>
      <c r="H148" s="49"/>
      <c r="I148" s="49"/>
      <c r="J148" s="49"/>
      <c r="K148" s="49"/>
      <c r="L148" s="49"/>
    </row>
    <row r="149" spans="1:15" ht="33" customHeight="1" x14ac:dyDescent="0.25">
      <c r="A149" s="49"/>
      <c r="B149" s="1334" t="s">
        <v>213</v>
      </c>
      <c r="C149" s="1331" t="s">
        <v>277</v>
      </c>
      <c r="D149" s="1331" t="s">
        <v>2299</v>
      </c>
      <c r="E149" s="2046" t="s">
        <v>2300</v>
      </c>
      <c r="F149" s="2046"/>
      <c r="G149" s="1331" t="s">
        <v>2301</v>
      </c>
      <c r="H149" s="1332" t="s">
        <v>172</v>
      </c>
      <c r="I149" s="2046" t="s">
        <v>30</v>
      </c>
      <c r="J149" s="2069"/>
      <c r="K149" s="49"/>
      <c r="L149" s="49"/>
      <c r="M149" s="49"/>
    </row>
    <row r="150" spans="1:15" x14ac:dyDescent="0.25">
      <c r="A150" s="49"/>
      <c r="B150" s="1329"/>
      <c r="C150" s="1333"/>
      <c r="D150" s="1329" t="s">
        <v>124</v>
      </c>
      <c r="E150" s="784"/>
      <c r="F150" s="1333" t="s">
        <v>124</v>
      </c>
      <c r="G150" s="1333" t="s">
        <v>124</v>
      </c>
      <c r="H150" s="297" t="str">
        <f t="shared" ref="H150:H159" si="3">IF(OR(D150="Select",D150=""),"",IF(N150+O150=2,"Yes","No"))</f>
        <v/>
      </c>
      <c r="I150" s="2072"/>
      <c r="J150" s="2072"/>
      <c r="K150" s="49"/>
      <c r="L150" s="49"/>
      <c r="M150" s="49"/>
      <c r="N150" s="38">
        <f>IF(OR(D150="ULEF",D150="NAF",D150="salvaged/reused",D150="No UF and no PF resins"),1,IF(OR(E150="",F150="Select"),0,IF(F150="ppm",IF(E150&lt;=0.05,1,0),IF(E150&lt;=0.06,1,0))))</f>
        <v>0</v>
      </c>
      <c r="O150" s="38">
        <f>IF(OR(G150="no adhesive used",G150="no added-urea formaldehyde"),1,0)</f>
        <v>0</v>
      </c>
    </row>
    <row r="151" spans="1:15" x14ac:dyDescent="0.25">
      <c r="A151" s="49"/>
      <c r="B151" s="1329"/>
      <c r="C151" s="168"/>
      <c r="D151" s="1329" t="s">
        <v>124</v>
      </c>
      <c r="E151" s="168"/>
      <c r="F151" s="1333" t="s">
        <v>124</v>
      </c>
      <c r="G151" s="1333" t="s">
        <v>124</v>
      </c>
      <c r="H151" s="297" t="str">
        <f t="shared" si="3"/>
        <v/>
      </c>
      <c r="I151" s="2072"/>
      <c r="J151" s="2072"/>
      <c r="K151" s="49"/>
      <c r="L151" s="49"/>
      <c r="M151" s="49"/>
      <c r="N151" s="38">
        <f t="shared" ref="N151:N159" si="4">IF(OR(D151="ULEF",D151="NAF",D151="salvaged/reused",D151="No UF and no PF resins"),1,IF(OR(E151="",F151="Select"),0,IF(F151="ppm",IF(E151&lt;=0.05,1,0),IF(E151&lt;=0.06,1,0))))</f>
        <v>0</v>
      </c>
      <c r="O151" s="38">
        <f t="shared" ref="O151:O159" si="5">IF(OR(G151="no adhesive used",G151="no added-urea formaldehyde"),1,0)</f>
        <v>0</v>
      </c>
    </row>
    <row r="152" spans="1:15" x14ac:dyDescent="0.25">
      <c r="A152" s="49"/>
      <c r="B152" s="1329"/>
      <c r="C152" s="168"/>
      <c r="D152" s="1329" t="s">
        <v>124</v>
      </c>
      <c r="E152" s="168"/>
      <c r="F152" s="1333" t="s">
        <v>124</v>
      </c>
      <c r="G152" s="1333" t="s">
        <v>124</v>
      </c>
      <c r="H152" s="297" t="str">
        <f t="shared" si="3"/>
        <v/>
      </c>
      <c r="I152" s="2072"/>
      <c r="J152" s="2072"/>
      <c r="K152" s="49"/>
      <c r="L152" s="49"/>
      <c r="M152" s="49"/>
      <c r="N152" s="38">
        <f t="shared" si="4"/>
        <v>0</v>
      </c>
      <c r="O152" s="38">
        <f t="shared" si="5"/>
        <v>0</v>
      </c>
    </row>
    <row r="153" spans="1:15" x14ac:dyDescent="0.25">
      <c r="A153" s="49"/>
      <c r="B153" s="1329"/>
      <c r="C153" s="168"/>
      <c r="D153" s="1329" t="s">
        <v>124</v>
      </c>
      <c r="E153" s="168"/>
      <c r="F153" s="1333" t="s">
        <v>124</v>
      </c>
      <c r="G153" s="1333" t="s">
        <v>124</v>
      </c>
      <c r="H153" s="297" t="str">
        <f t="shared" si="3"/>
        <v/>
      </c>
      <c r="I153" s="2072"/>
      <c r="J153" s="2072"/>
      <c r="K153" s="49"/>
      <c r="L153" s="49"/>
      <c r="M153" s="49"/>
      <c r="N153" s="38">
        <f t="shared" si="4"/>
        <v>0</v>
      </c>
      <c r="O153" s="38">
        <f t="shared" si="5"/>
        <v>0</v>
      </c>
    </row>
    <row r="154" spans="1:15" x14ac:dyDescent="0.25">
      <c r="A154" s="49"/>
      <c r="B154" s="1329"/>
      <c r="C154" s="168"/>
      <c r="D154" s="1329" t="s">
        <v>124</v>
      </c>
      <c r="E154" s="168"/>
      <c r="F154" s="1333" t="s">
        <v>124</v>
      </c>
      <c r="G154" s="1333" t="s">
        <v>124</v>
      </c>
      <c r="H154" s="297" t="str">
        <f t="shared" si="3"/>
        <v/>
      </c>
      <c r="I154" s="2072"/>
      <c r="J154" s="2072"/>
      <c r="K154" s="49"/>
      <c r="L154" s="49"/>
      <c r="M154" s="49"/>
      <c r="N154" s="38">
        <f t="shared" si="4"/>
        <v>0</v>
      </c>
      <c r="O154" s="38">
        <f t="shared" si="5"/>
        <v>0</v>
      </c>
    </row>
    <row r="155" spans="1:15" x14ac:dyDescent="0.25">
      <c r="A155" s="49"/>
      <c r="B155" s="1329"/>
      <c r="C155" s="168"/>
      <c r="D155" s="1329" t="s">
        <v>124</v>
      </c>
      <c r="E155" s="168"/>
      <c r="F155" s="1333" t="s">
        <v>124</v>
      </c>
      <c r="G155" s="1333" t="s">
        <v>124</v>
      </c>
      <c r="H155" s="297" t="str">
        <f t="shared" si="3"/>
        <v/>
      </c>
      <c r="I155" s="2072"/>
      <c r="J155" s="2072"/>
      <c r="K155" s="49"/>
      <c r="L155" s="49"/>
      <c r="M155" s="49"/>
      <c r="N155" s="38">
        <f t="shared" si="4"/>
        <v>0</v>
      </c>
      <c r="O155" s="38">
        <f t="shared" si="5"/>
        <v>0</v>
      </c>
    </row>
    <row r="156" spans="1:15" x14ac:dyDescent="0.25">
      <c r="A156" s="49"/>
      <c r="B156" s="1329"/>
      <c r="C156" s="168"/>
      <c r="D156" s="1329" t="s">
        <v>124</v>
      </c>
      <c r="E156" s="168"/>
      <c r="F156" s="1333" t="s">
        <v>124</v>
      </c>
      <c r="G156" s="1333" t="s">
        <v>124</v>
      </c>
      <c r="H156" s="297" t="str">
        <f t="shared" si="3"/>
        <v/>
      </c>
      <c r="I156" s="2072"/>
      <c r="J156" s="2072"/>
      <c r="K156" s="49"/>
      <c r="L156" s="49"/>
      <c r="M156" s="49"/>
      <c r="N156" s="38">
        <f t="shared" si="4"/>
        <v>0</v>
      </c>
      <c r="O156" s="38">
        <f t="shared" si="5"/>
        <v>0</v>
      </c>
    </row>
    <row r="157" spans="1:15" x14ac:dyDescent="0.25">
      <c r="A157" s="49"/>
      <c r="B157" s="1329"/>
      <c r="C157" s="168"/>
      <c r="D157" s="1329" t="s">
        <v>124</v>
      </c>
      <c r="E157" s="168"/>
      <c r="F157" s="1333" t="s">
        <v>124</v>
      </c>
      <c r="G157" s="1333" t="s">
        <v>124</v>
      </c>
      <c r="H157" s="297" t="str">
        <f t="shared" si="3"/>
        <v/>
      </c>
      <c r="I157" s="2072"/>
      <c r="J157" s="2072"/>
      <c r="K157" s="49"/>
      <c r="L157" s="49"/>
      <c r="M157" s="49"/>
      <c r="N157" s="38">
        <f t="shared" si="4"/>
        <v>0</v>
      </c>
      <c r="O157" s="38">
        <f t="shared" si="5"/>
        <v>0</v>
      </c>
    </row>
    <row r="158" spans="1:15" x14ac:dyDescent="0.25">
      <c r="A158" s="49"/>
      <c r="B158" s="1329"/>
      <c r="C158" s="168"/>
      <c r="D158" s="1329" t="s">
        <v>124</v>
      </c>
      <c r="E158" s="168"/>
      <c r="F158" s="1333" t="s">
        <v>124</v>
      </c>
      <c r="G158" s="1333" t="s">
        <v>124</v>
      </c>
      <c r="H158" s="297" t="str">
        <f t="shared" si="3"/>
        <v/>
      </c>
      <c r="I158" s="2072"/>
      <c r="J158" s="2072"/>
      <c r="K158" s="49"/>
      <c r="L158" s="49"/>
      <c r="M158" s="49"/>
      <c r="N158" s="38">
        <f t="shared" si="4"/>
        <v>0</v>
      </c>
      <c r="O158" s="38">
        <f t="shared" si="5"/>
        <v>0</v>
      </c>
    </row>
    <row r="159" spans="1:15" x14ac:dyDescent="0.25">
      <c r="A159" s="49"/>
      <c r="B159" s="1329"/>
      <c r="C159" s="168"/>
      <c r="D159" s="1329" t="s">
        <v>124</v>
      </c>
      <c r="E159" s="168"/>
      <c r="F159" s="1333" t="s">
        <v>124</v>
      </c>
      <c r="G159" s="1333" t="s">
        <v>124</v>
      </c>
      <c r="H159" s="297" t="str">
        <f t="shared" si="3"/>
        <v/>
      </c>
      <c r="I159" s="2072"/>
      <c r="J159" s="2072"/>
      <c r="K159" s="49"/>
      <c r="L159" s="49"/>
      <c r="M159" s="49"/>
      <c r="N159" s="38">
        <f t="shared" si="4"/>
        <v>0</v>
      </c>
      <c r="O159" s="38">
        <f t="shared" si="5"/>
        <v>0</v>
      </c>
    </row>
    <row r="160" spans="1:15" ht="17.25" customHeight="1" x14ac:dyDescent="0.25">
      <c r="A160" s="49"/>
      <c r="B160" s="50"/>
      <c r="C160" s="50"/>
      <c r="D160" s="50"/>
      <c r="E160" s="50"/>
      <c r="F160" s="49"/>
      <c r="G160" s="49"/>
      <c r="H160" s="49"/>
      <c r="I160" s="49"/>
      <c r="J160" s="49"/>
      <c r="K160" s="49"/>
      <c r="L160" s="49"/>
    </row>
    <row r="161" spans="1:13" ht="18.75" customHeight="1" x14ac:dyDescent="0.25">
      <c r="A161" s="49"/>
      <c r="B161" s="2076" t="s">
        <v>2302</v>
      </c>
      <c r="C161" s="2077"/>
      <c r="D161" s="2078"/>
      <c r="E161" s="79" t="str">
        <f>IF(COUNTBLANK(H150:H159)=10,"",IF(COUNTIF(H150:H159,"No")=0,"Yes","No"))</f>
        <v/>
      </c>
      <c r="F161" s="49"/>
      <c r="G161" s="49"/>
      <c r="H161" s="49"/>
      <c r="I161" s="49"/>
      <c r="J161" s="49"/>
      <c r="K161" s="49"/>
      <c r="L161" s="49"/>
    </row>
    <row r="162" spans="1:13" ht="19.5" customHeight="1" x14ac:dyDescent="0.25">
      <c r="A162" s="49"/>
      <c r="B162" s="50"/>
      <c r="C162" s="50"/>
      <c r="D162" s="50"/>
      <c r="E162" s="49"/>
      <c r="F162" s="49"/>
      <c r="G162" s="49"/>
      <c r="H162" s="49"/>
      <c r="I162" s="49"/>
      <c r="J162" s="49"/>
      <c r="K162" s="49"/>
      <c r="L162" s="49"/>
    </row>
    <row r="163" spans="1:13" ht="16.5" customHeight="1" x14ac:dyDescent="0.25">
      <c r="A163" s="2068" t="s">
        <v>186</v>
      </c>
      <c r="B163" s="2068"/>
      <c r="C163" s="2068"/>
      <c r="D163" s="50"/>
      <c r="E163" s="50"/>
      <c r="F163" s="50"/>
      <c r="G163" s="50"/>
      <c r="H163" s="50"/>
      <c r="I163" s="50"/>
      <c r="J163" s="50"/>
      <c r="K163" s="50"/>
      <c r="L163" s="50"/>
    </row>
    <row r="164" spans="1:13" x14ac:dyDescent="0.25">
      <c r="A164" s="49"/>
      <c r="B164" s="50"/>
      <c r="C164" s="50"/>
      <c r="D164" s="50"/>
      <c r="E164" s="49"/>
      <c r="F164" s="49"/>
      <c r="G164" s="49"/>
      <c r="H164" s="49"/>
      <c r="I164" s="49"/>
      <c r="J164" s="49"/>
      <c r="K164" s="49"/>
      <c r="L164" s="49"/>
    </row>
    <row r="165" spans="1:13" ht="21" customHeight="1" x14ac:dyDescent="0.25">
      <c r="A165" s="49"/>
      <c r="B165" s="2035" t="s">
        <v>190</v>
      </c>
      <c r="C165" s="2036"/>
      <c r="D165" s="2036"/>
      <c r="E165" s="2036"/>
      <c r="F165" s="2036"/>
      <c r="G165" s="1332" t="s">
        <v>1737</v>
      </c>
      <c r="H165" s="2030" t="s">
        <v>1738</v>
      </c>
      <c r="I165" s="2030"/>
      <c r="J165" s="49"/>
      <c r="K165" s="49"/>
      <c r="L165" s="49"/>
    </row>
    <row r="166" spans="1:13" ht="30" customHeight="1" x14ac:dyDescent="0.25">
      <c r="A166" s="49"/>
      <c r="B166" s="1576" t="s">
        <v>2639</v>
      </c>
      <c r="C166" s="1577"/>
      <c r="D166" s="1577"/>
      <c r="E166" s="1577"/>
      <c r="F166" s="1577"/>
      <c r="G166" s="1329" t="s">
        <v>124</v>
      </c>
      <c r="H166" s="1763"/>
      <c r="I166" s="1841"/>
      <c r="J166" s="49"/>
      <c r="K166" s="49"/>
      <c r="L166" s="49"/>
      <c r="M166" s="38" t="str">
        <f>IF(OR(B166="/",B166="No evidence required at this submission stage"),"Yes",IF(G166="Submitted","Yes","No"))</f>
        <v>No</v>
      </c>
    </row>
    <row r="167" spans="1:13" ht="30" customHeight="1" x14ac:dyDescent="0.25">
      <c r="A167" s="49"/>
      <c r="B167" s="1576" t="s">
        <v>2640</v>
      </c>
      <c r="C167" s="1577"/>
      <c r="D167" s="1577"/>
      <c r="E167" s="1577"/>
      <c r="F167" s="1577"/>
      <c r="G167" s="1329" t="s">
        <v>124</v>
      </c>
      <c r="H167" s="1763"/>
      <c r="I167" s="1841"/>
      <c r="J167" s="49"/>
      <c r="K167" s="49"/>
      <c r="L167" s="49"/>
      <c r="M167" s="38" t="str">
        <f>IF(OR(B167="/",B167="No evidence required at this submission stage"),"Yes",IF(G167="Submitted","Yes","No"))</f>
        <v>No</v>
      </c>
    </row>
    <row r="168" spans="1:13" ht="19.5" customHeight="1" x14ac:dyDescent="0.25">
      <c r="A168" s="49"/>
      <c r="B168" s="50"/>
      <c r="C168" s="50"/>
      <c r="D168" s="50"/>
      <c r="E168" s="49"/>
      <c r="F168" s="49"/>
      <c r="G168" s="49"/>
      <c r="H168" s="49"/>
      <c r="I168" s="49"/>
      <c r="J168" s="49"/>
      <c r="K168" s="49"/>
      <c r="L168" s="49"/>
    </row>
    <row r="169" spans="1:13" ht="16.5" customHeight="1" x14ac:dyDescent="0.25">
      <c r="A169" s="2068" t="s">
        <v>22</v>
      </c>
      <c r="B169" s="2068"/>
      <c r="C169" s="2068"/>
      <c r="D169" s="50"/>
      <c r="E169" s="49"/>
      <c r="F169" s="49"/>
      <c r="G169" s="49"/>
      <c r="H169" s="49"/>
      <c r="I169" s="49"/>
      <c r="J169" s="49"/>
      <c r="K169" s="49"/>
      <c r="L169" s="49"/>
    </row>
    <row r="170" spans="1:13" ht="16.5" customHeight="1" x14ac:dyDescent="0.25">
      <c r="A170" s="49"/>
      <c r="B170" s="50"/>
      <c r="C170" s="50"/>
      <c r="D170" s="50"/>
      <c r="E170" s="49"/>
      <c r="F170" s="49"/>
      <c r="G170" s="49"/>
      <c r="H170" s="49"/>
      <c r="I170" s="49"/>
      <c r="J170" s="49"/>
      <c r="K170" s="49"/>
      <c r="L170" s="49"/>
    </row>
    <row r="171" spans="1:13" ht="18" customHeight="1" x14ac:dyDescent="0.25">
      <c r="A171" s="49"/>
      <c r="B171" s="243" t="s">
        <v>53</v>
      </c>
      <c r="C171" s="1335">
        <f>IF(E161="Yes",1,0)</f>
        <v>0</v>
      </c>
      <c r="D171" s="50"/>
      <c r="E171" s="49"/>
      <c r="F171" s="49"/>
      <c r="G171" s="49"/>
      <c r="H171" s="49"/>
      <c r="I171" s="49"/>
      <c r="J171" s="49"/>
      <c r="K171" s="49"/>
      <c r="L171" s="49"/>
    </row>
    <row r="172" spans="1:13" ht="18" customHeight="1" x14ac:dyDescent="0.25">
      <c r="A172" s="49"/>
      <c r="B172" s="244" t="s">
        <v>492</v>
      </c>
      <c r="C172" s="1335" t="str">
        <f>IF(AND(COUNTIF(M166:M167,"Yes")=2,C171&gt;0),"Yes","No")</f>
        <v>No</v>
      </c>
      <c r="D172" s="50"/>
      <c r="E172" s="49"/>
      <c r="F172" s="49"/>
      <c r="G172" s="49"/>
      <c r="H172" s="49"/>
      <c r="I172" s="49"/>
      <c r="J172" s="49"/>
      <c r="K172" s="49"/>
      <c r="L172" s="49"/>
    </row>
    <row r="173" spans="1:13" ht="16.5" customHeight="1" x14ac:dyDescent="0.25">
      <c r="A173" s="49"/>
      <c r="B173" s="50"/>
      <c r="C173" s="50"/>
      <c r="D173" s="50"/>
      <c r="E173" s="49"/>
      <c r="F173" s="49"/>
      <c r="G173" s="49"/>
      <c r="H173" s="49"/>
      <c r="I173" s="49"/>
      <c r="J173" s="49"/>
      <c r="K173" s="49"/>
      <c r="L173" s="49"/>
    </row>
    <row r="174" spans="1:13" ht="18.75" customHeight="1" x14ac:dyDescent="0.25">
      <c r="A174" s="2016" t="s">
        <v>2641</v>
      </c>
      <c r="B174" s="2016"/>
      <c r="C174" s="2016"/>
      <c r="D174" s="2016"/>
      <c r="E174" s="2016"/>
      <c r="F174" s="2016"/>
      <c r="G174" s="2016"/>
      <c r="H174" s="2016"/>
      <c r="I174" s="2016"/>
      <c r="J174" s="2016"/>
      <c r="K174" s="2016"/>
      <c r="L174" s="2016"/>
      <c r="M174" s="43"/>
    </row>
    <row r="175" spans="1:13" x14ac:dyDescent="0.25">
      <c r="A175" s="49"/>
      <c r="B175" s="49"/>
      <c r="C175" s="49"/>
      <c r="D175" s="49"/>
      <c r="E175" s="50"/>
      <c r="F175" s="49"/>
      <c r="G175" s="49"/>
      <c r="H175" s="49"/>
      <c r="I175" s="49"/>
      <c r="J175" s="49"/>
      <c r="K175" s="49"/>
      <c r="L175" s="49"/>
      <c r="M175" s="49"/>
    </row>
    <row r="176" spans="1:13" ht="16.5" customHeight="1" x14ac:dyDescent="0.25">
      <c r="A176" s="2068" t="s">
        <v>245</v>
      </c>
      <c r="B176" s="2068"/>
      <c r="C176" s="2068"/>
      <c r="D176" s="49"/>
      <c r="E176" s="50"/>
      <c r="F176" s="49"/>
      <c r="G176" s="49"/>
      <c r="H176" s="49"/>
      <c r="I176" s="49"/>
      <c r="J176" s="49"/>
      <c r="K176" s="49"/>
      <c r="L176" s="49"/>
      <c r="M176" s="49"/>
    </row>
    <row r="177" spans="1:13" ht="14.25" customHeight="1" x14ac:dyDescent="0.25">
      <c r="A177" s="49"/>
      <c r="B177" s="49"/>
      <c r="C177" s="49"/>
      <c r="D177" s="49"/>
      <c r="E177" s="50"/>
      <c r="F177" s="49"/>
      <c r="G177" s="49"/>
      <c r="H177" s="49"/>
      <c r="I177" s="49"/>
      <c r="J177" s="49"/>
      <c r="K177" s="49"/>
      <c r="L177" s="49"/>
      <c r="M177" s="49"/>
    </row>
    <row r="178" spans="1:13" x14ac:dyDescent="0.25">
      <c r="A178" s="49"/>
      <c r="B178" s="641" t="s">
        <v>2642</v>
      </c>
      <c r="C178" s="50"/>
      <c r="D178" s="50"/>
      <c r="E178" s="50"/>
      <c r="F178" s="49"/>
      <c r="G178" s="49"/>
      <c r="H178" s="49"/>
      <c r="I178" s="49"/>
      <c r="J178" s="49"/>
      <c r="K178" s="49"/>
      <c r="L178" s="49"/>
      <c r="M178" s="49"/>
    </row>
    <row r="179" spans="1:13" ht="18" customHeight="1" x14ac:dyDescent="0.25">
      <c r="A179" s="49"/>
      <c r="B179" s="50"/>
      <c r="C179" s="50"/>
      <c r="D179" s="50"/>
      <c r="E179" s="50"/>
      <c r="F179" s="49"/>
      <c r="G179" s="49"/>
      <c r="H179" s="49"/>
      <c r="I179" s="49"/>
      <c r="J179" s="49"/>
      <c r="K179" s="49"/>
      <c r="L179" s="49"/>
      <c r="M179" s="49"/>
    </row>
    <row r="180" spans="1:13" ht="15.75" customHeight="1" x14ac:dyDescent="0.25">
      <c r="A180" s="49"/>
      <c r="B180" s="566" t="s">
        <v>2643</v>
      </c>
      <c r="C180" s="50"/>
      <c r="D180" s="50"/>
      <c r="E180" s="50"/>
      <c r="F180" s="49"/>
      <c r="G180" s="49"/>
      <c r="H180" s="49"/>
      <c r="I180" s="49"/>
      <c r="J180" s="49"/>
      <c r="K180" s="49"/>
      <c r="L180" s="49"/>
      <c r="M180" s="49"/>
    </row>
    <row r="181" spans="1:13" x14ac:dyDescent="0.25">
      <c r="A181" s="49"/>
      <c r="B181" s="566"/>
      <c r="C181" s="50"/>
      <c r="D181" s="50"/>
      <c r="E181" s="50"/>
      <c r="F181" s="49"/>
      <c r="G181" s="49"/>
      <c r="H181" s="49"/>
      <c r="I181" s="49"/>
      <c r="J181" s="49"/>
      <c r="K181" s="49"/>
      <c r="L181" s="49"/>
      <c r="M181" s="49"/>
    </row>
    <row r="182" spans="1:13" ht="9.75" customHeight="1" x14ac:dyDescent="0.25">
      <c r="A182" s="49"/>
      <c r="B182" s="50"/>
      <c r="C182" s="50"/>
      <c r="D182" s="50"/>
      <c r="E182" s="50"/>
      <c r="F182" s="49"/>
      <c r="G182" s="49"/>
      <c r="H182" s="49"/>
      <c r="I182" s="49"/>
      <c r="J182" s="49"/>
      <c r="K182" s="49"/>
      <c r="L182" s="49"/>
      <c r="M182" s="49"/>
    </row>
    <row r="183" spans="1:13" ht="15" customHeight="1" x14ac:dyDescent="0.25">
      <c r="A183" s="49"/>
      <c r="B183" s="1597" t="s">
        <v>2644</v>
      </c>
      <c r="C183" s="1597"/>
      <c r="D183" s="1597"/>
      <c r="E183" s="1597"/>
      <c r="F183" s="1597"/>
      <c r="G183" s="1597"/>
      <c r="H183" s="49"/>
      <c r="I183" s="49"/>
      <c r="J183" s="49"/>
      <c r="K183" s="49"/>
      <c r="L183" s="49"/>
      <c r="M183" s="49"/>
    </row>
    <row r="184" spans="1:13" ht="12" customHeight="1" x14ac:dyDescent="0.25">
      <c r="A184" s="49"/>
      <c r="B184" s="50"/>
      <c r="C184" s="50"/>
      <c r="D184" s="50"/>
      <c r="E184" s="49"/>
      <c r="F184" s="49"/>
      <c r="G184" s="49"/>
      <c r="H184" s="49"/>
      <c r="I184" s="49"/>
      <c r="J184" s="49"/>
      <c r="K184" s="49"/>
      <c r="L184" s="49"/>
      <c r="M184" s="49"/>
    </row>
    <row r="185" spans="1:13" ht="27" customHeight="1" x14ac:dyDescent="0.25">
      <c r="A185" s="49"/>
      <c r="B185" s="1334" t="s">
        <v>213</v>
      </c>
      <c r="C185" s="1331" t="s">
        <v>277</v>
      </c>
      <c r="D185" s="1331" t="s">
        <v>2616</v>
      </c>
      <c r="E185" s="1331" t="s">
        <v>624</v>
      </c>
      <c r="F185" s="1331" t="s">
        <v>214</v>
      </c>
      <c r="G185" s="1332" t="s">
        <v>172</v>
      </c>
      <c r="H185" s="2046" t="s">
        <v>30</v>
      </c>
      <c r="I185" s="2046"/>
      <c r="J185" s="2069"/>
      <c r="K185" s="49"/>
      <c r="L185" s="49"/>
      <c r="M185" s="49"/>
    </row>
    <row r="186" spans="1:13" x14ac:dyDescent="0.25">
      <c r="A186" s="49"/>
      <c r="B186" s="1329"/>
      <c r="C186" s="1333"/>
      <c r="D186" s="1329" t="s">
        <v>124</v>
      </c>
      <c r="E186" s="1333"/>
      <c r="F186" s="1333"/>
      <c r="G186" s="297" t="str">
        <f>IF(OR(D186="",D186="Select"),"",IF(OR(D186="Inherently non-emitting product",D186="Certified product"),"Yes",IF(AND(E186&lt;&gt;"",F186&lt;&gt;""),IF(E186&lt;F186,"Yes","No"),"No")))</f>
        <v/>
      </c>
      <c r="H186" s="1637"/>
      <c r="I186" s="1637"/>
      <c r="J186" s="1637"/>
      <c r="K186" s="49"/>
      <c r="L186" s="49"/>
      <c r="M186" s="49"/>
    </row>
    <row r="187" spans="1:13" x14ac:dyDescent="0.25">
      <c r="A187" s="49"/>
      <c r="B187" s="1329"/>
      <c r="C187" s="168"/>
      <c r="D187" s="1329" t="s">
        <v>124</v>
      </c>
      <c r="E187" s="1333"/>
      <c r="F187" s="1333"/>
      <c r="G187" s="297" t="str">
        <f t="shared" ref="G187:G195" si="6">IF(OR(D187="",D187="Select"),"",IF(OR(D187="Inherently non-emitting product",D187="Certified product"),"Yes",IF(AND(E187&lt;&gt;"",F187&lt;&gt;""),IF(E187&lt;F187,"Yes","No"),"No")))</f>
        <v/>
      </c>
      <c r="H187" s="1637"/>
      <c r="I187" s="1637"/>
      <c r="J187" s="1637"/>
      <c r="K187" s="49"/>
      <c r="L187" s="49"/>
      <c r="M187" s="49"/>
    </row>
    <row r="188" spans="1:13" x14ac:dyDescent="0.25">
      <c r="A188" s="49"/>
      <c r="B188" s="1329"/>
      <c r="C188" s="168"/>
      <c r="D188" s="1329" t="s">
        <v>124</v>
      </c>
      <c r="E188" s="1333"/>
      <c r="F188" s="1333"/>
      <c r="G188" s="297" t="str">
        <f t="shared" si="6"/>
        <v/>
      </c>
      <c r="H188" s="1637"/>
      <c r="I188" s="1637"/>
      <c r="J188" s="1637"/>
      <c r="K188" s="49"/>
      <c r="L188" s="49"/>
      <c r="M188" s="49"/>
    </row>
    <row r="189" spans="1:13" x14ac:dyDescent="0.25">
      <c r="A189" s="49"/>
      <c r="B189" s="1329"/>
      <c r="C189" s="168"/>
      <c r="D189" s="1329" t="s">
        <v>124</v>
      </c>
      <c r="E189" s="1333"/>
      <c r="F189" s="1333"/>
      <c r="G189" s="297" t="str">
        <f t="shared" si="6"/>
        <v/>
      </c>
      <c r="H189" s="1637"/>
      <c r="I189" s="1637"/>
      <c r="J189" s="1637"/>
      <c r="K189" s="49"/>
      <c r="L189" s="49"/>
      <c r="M189" s="49"/>
    </row>
    <row r="190" spans="1:13" x14ac:dyDescent="0.25">
      <c r="A190" s="49"/>
      <c r="B190" s="1329"/>
      <c r="C190" s="168"/>
      <c r="D190" s="1329" t="s">
        <v>124</v>
      </c>
      <c r="E190" s="1333"/>
      <c r="F190" s="1333"/>
      <c r="G190" s="297" t="str">
        <f t="shared" si="6"/>
        <v/>
      </c>
      <c r="H190" s="1637"/>
      <c r="I190" s="1637"/>
      <c r="J190" s="1637"/>
      <c r="K190" s="49"/>
      <c r="L190" s="49"/>
      <c r="M190" s="49"/>
    </row>
    <row r="191" spans="1:13" x14ac:dyDescent="0.25">
      <c r="A191" s="49"/>
      <c r="B191" s="1329"/>
      <c r="C191" s="168"/>
      <c r="D191" s="1329" t="s">
        <v>124</v>
      </c>
      <c r="E191" s="1333"/>
      <c r="F191" s="1333"/>
      <c r="G191" s="297" t="str">
        <f t="shared" si="6"/>
        <v/>
      </c>
      <c r="H191" s="1637"/>
      <c r="I191" s="1637"/>
      <c r="J191" s="1637"/>
      <c r="K191" s="49"/>
      <c r="L191" s="49"/>
      <c r="M191" s="49"/>
    </row>
    <row r="192" spans="1:13" x14ac:dyDescent="0.25">
      <c r="A192" s="49"/>
      <c r="B192" s="1329"/>
      <c r="C192" s="168"/>
      <c r="D192" s="1329" t="s">
        <v>124</v>
      </c>
      <c r="E192" s="1333"/>
      <c r="F192" s="1333"/>
      <c r="G192" s="297" t="str">
        <f t="shared" si="6"/>
        <v/>
      </c>
      <c r="H192" s="1637"/>
      <c r="I192" s="1637"/>
      <c r="J192" s="1637"/>
      <c r="K192" s="49"/>
      <c r="L192" s="49"/>
      <c r="M192" s="49"/>
    </row>
    <row r="193" spans="1:13" x14ac:dyDescent="0.25">
      <c r="A193" s="49"/>
      <c r="B193" s="1329"/>
      <c r="C193" s="168"/>
      <c r="D193" s="1329" t="s">
        <v>124</v>
      </c>
      <c r="E193" s="168"/>
      <c r="F193" s="168"/>
      <c r="G193" s="297" t="str">
        <f t="shared" si="6"/>
        <v/>
      </c>
      <c r="H193" s="1637"/>
      <c r="I193" s="1637"/>
      <c r="J193" s="1637"/>
      <c r="K193" s="49"/>
      <c r="L193" s="49"/>
      <c r="M193" s="49"/>
    </row>
    <row r="194" spans="1:13" x14ac:dyDescent="0.25">
      <c r="A194" s="49"/>
      <c r="B194" s="1329"/>
      <c r="C194" s="168"/>
      <c r="D194" s="1329" t="s">
        <v>124</v>
      </c>
      <c r="E194" s="168"/>
      <c r="F194" s="168"/>
      <c r="G194" s="297" t="str">
        <f t="shared" si="6"/>
        <v/>
      </c>
      <c r="H194" s="1637"/>
      <c r="I194" s="1637"/>
      <c r="J194" s="1637"/>
      <c r="K194" s="49"/>
      <c r="L194" s="49"/>
      <c r="M194" s="49"/>
    </row>
    <row r="195" spans="1:13" x14ac:dyDescent="0.25">
      <c r="A195" s="49"/>
      <c r="B195" s="1329"/>
      <c r="C195" s="168"/>
      <c r="D195" s="1329" t="s">
        <v>124</v>
      </c>
      <c r="E195" s="168"/>
      <c r="F195" s="168"/>
      <c r="G195" s="297" t="str">
        <f t="shared" si="6"/>
        <v/>
      </c>
      <c r="H195" s="1637"/>
      <c r="I195" s="1637"/>
      <c r="J195" s="1637"/>
      <c r="K195" s="49"/>
      <c r="L195" s="49"/>
      <c r="M195" s="49"/>
    </row>
    <row r="196" spans="1:13" ht="18" customHeight="1" x14ac:dyDescent="0.25">
      <c r="A196" s="49"/>
      <c r="B196" s="50"/>
      <c r="C196" s="50"/>
      <c r="D196" s="50"/>
      <c r="E196" s="50"/>
      <c r="F196" s="49"/>
      <c r="G196" s="49"/>
      <c r="H196" s="49"/>
      <c r="I196" s="49"/>
      <c r="J196" s="49"/>
      <c r="K196" s="49"/>
      <c r="L196" s="49"/>
      <c r="M196" s="49"/>
    </row>
    <row r="197" spans="1:13" ht="19.5" customHeight="1" x14ac:dyDescent="0.25">
      <c r="A197" s="49"/>
      <c r="B197" s="2076" t="s">
        <v>2645</v>
      </c>
      <c r="C197" s="2077"/>
      <c r="D197" s="2078"/>
      <c r="E197" s="79" t="str">
        <f>IF(COUNTBLANK(G186:G195)=10,"",IF(COUNTIF(G186:G195,"No")=0,"Yes","No"))</f>
        <v/>
      </c>
      <c r="F197" s="49"/>
      <c r="G197" s="49"/>
      <c r="H197" s="49"/>
      <c r="I197" s="49"/>
      <c r="J197" s="49"/>
      <c r="K197" s="49"/>
      <c r="L197" s="49"/>
      <c r="M197" s="49"/>
    </row>
    <row r="198" spans="1:13" ht="18.75" customHeight="1" x14ac:dyDescent="0.25">
      <c r="A198" s="49"/>
      <c r="B198" s="50"/>
      <c r="C198" s="50"/>
      <c r="D198" s="50"/>
      <c r="E198" s="49"/>
      <c r="F198" s="49"/>
      <c r="G198" s="49"/>
      <c r="H198" s="49"/>
      <c r="I198" s="49"/>
      <c r="J198" s="49"/>
      <c r="K198" s="49"/>
      <c r="L198" s="49"/>
      <c r="M198" s="49"/>
    </row>
    <row r="199" spans="1:13" ht="16.5" customHeight="1" x14ac:dyDescent="0.25">
      <c r="A199" s="2068" t="s">
        <v>186</v>
      </c>
      <c r="B199" s="2068"/>
      <c r="C199" s="2068"/>
      <c r="D199" s="50"/>
      <c r="E199" s="50"/>
      <c r="F199" s="50"/>
      <c r="G199" s="50"/>
      <c r="H199" s="50"/>
      <c r="I199" s="50"/>
      <c r="J199" s="50"/>
      <c r="K199" s="50"/>
      <c r="L199" s="50"/>
      <c r="M199" s="49"/>
    </row>
    <row r="200" spans="1:13" x14ac:dyDescent="0.25">
      <c r="A200" s="49"/>
      <c r="B200" s="50"/>
      <c r="C200" s="50"/>
      <c r="D200" s="50"/>
      <c r="E200" s="49"/>
      <c r="F200" s="49"/>
      <c r="G200" s="49"/>
      <c r="H200" s="49"/>
      <c r="I200" s="49"/>
      <c r="J200" s="49"/>
      <c r="K200" s="49"/>
      <c r="L200" s="49"/>
      <c r="M200" s="49"/>
    </row>
    <row r="201" spans="1:13" ht="21" customHeight="1" x14ac:dyDescent="0.25">
      <c r="A201" s="49"/>
      <c r="B201" s="2035" t="s">
        <v>190</v>
      </c>
      <c r="C201" s="2036"/>
      <c r="D201" s="2036"/>
      <c r="E201" s="2036"/>
      <c r="F201" s="2036"/>
      <c r="G201" s="1332" t="s">
        <v>1737</v>
      </c>
      <c r="H201" s="2030" t="s">
        <v>1738</v>
      </c>
      <c r="I201" s="2030"/>
      <c r="J201" s="49"/>
      <c r="K201" s="49"/>
      <c r="L201" s="49"/>
      <c r="M201" s="49"/>
    </row>
    <row r="202" spans="1:13" ht="30" customHeight="1" x14ac:dyDescent="0.25">
      <c r="A202" s="49"/>
      <c r="B202" s="2079" t="s">
        <v>2617</v>
      </c>
      <c r="C202" s="2080"/>
      <c r="D202" s="2080"/>
      <c r="E202" s="2080"/>
      <c r="F202" s="2080"/>
      <c r="G202" s="1329" t="s">
        <v>124</v>
      </c>
      <c r="H202" s="1763"/>
      <c r="I202" s="1841"/>
      <c r="J202" s="49"/>
      <c r="K202" s="49"/>
      <c r="L202" s="49"/>
      <c r="M202" s="38" t="str">
        <f>IF(OR(B202="/",B202="No evidence required at this submission stage"),"Yes",IF(G202="Submitted","Yes","No"))</f>
        <v>No</v>
      </c>
    </row>
    <row r="203" spans="1:13" ht="30" customHeight="1" x14ac:dyDescent="0.25">
      <c r="A203" s="49"/>
      <c r="B203" s="2079" t="s">
        <v>2618</v>
      </c>
      <c r="C203" s="2080"/>
      <c r="D203" s="2080"/>
      <c r="E203" s="2080"/>
      <c r="F203" s="2080"/>
      <c r="G203" s="1329" t="s">
        <v>124</v>
      </c>
      <c r="H203" s="1763"/>
      <c r="I203" s="1841"/>
      <c r="J203" s="49"/>
      <c r="K203" s="49"/>
      <c r="L203" s="49"/>
      <c r="M203" s="38" t="str">
        <f>IF(OR(B203="/",B203="No evidence required at this submission stage"),"Yes",IF(G203="Submitted","Yes","No"))</f>
        <v>No</v>
      </c>
    </row>
    <row r="204" spans="1:13" ht="19.5" customHeight="1" x14ac:dyDescent="0.25">
      <c r="A204" s="49"/>
      <c r="B204" s="50"/>
      <c r="C204" s="50"/>
      <c r="D204" s="50"/>
      <c r="E204" s="49"/>
      <c r="F204" s="49"/>
      <c r="G204" s="49"/>
      <c r="H204" s="49"/>
      <c r="I204" s="49"/>
      <c r="J204" s="49"/>
      <c r="K204" s="49"/>
      <c r="L204" s="49"/>
      <c r="M204" s="49"/>
    </row>
    <row r="205" spans="1:13" ht="16.5" customHeight="1" x14ac:dyDescent="0.25">
      <c r="A205" s="2068" t="s">
        <v>22</v>
      </c>
      <c r="B205" s="2068"/>
      <c r="C205" s="2068"/>
      <c r="D205" s="50"/>
      <c r="E205" s="49"/>
      <c r="F205" s="49"/>
      <c r="G205" s="49"/>
      <c r="H205" s="49"/>
      <c r="I205" s="49"/>
      <c r="J205" s="49"/>
      <c r="K205" s="49"/>
      <c r="L205" s="49"/>
      <c r="M205" s="49"/>
    </row>
    <row r="206" spans="1:13" ht="16.5" customHeight="1" x14ac:dyDescent="0.25">
      <c r="A206" s="49"/>
      <c r="B206" s="50"/>
      <c r="C206" s="50"/>
      <c r="D206" s="50"/>
      <c r="E206" s="49"/>
      <c r="F206" s="49"/>
      <c r="G206" s="49"/>
      <c r="H206" s="49"/>
      <c r="I206" s="49"/>
      <c r="J206" s="49"/>
      <c r="K206" s="49"/>
      <c r="L206" s="49"/>
      <c r="M206" s="49"/>
    </row>
    <row r="207" spans="1:13" ht="18" customHeight="1" x14ac:dyDescent="0.25">
      <c r="A207" s="49"/>
      <c r="B207" s="243" t="s">
        <v>53</v>
      </c>
      <c r="C207" s="1335">
        <f>IF(E197="Yes",1,0)</f>
        <v>0</v>
      </c>
      <c r="D207" s="50"/>
      <c r="E207" s="49"/>
      <c r="F207" s="49"/>
      <c r="G207" s="49"/>
      <c r="H207" s="49"/>
      <c r="I207" s="49"/>
      <c r="J207" s="49"/>
      <c r="K207" s="49"/>
      <c r="L207" s="49"/>
      <c r="M207" s="49"/>
    </row>
    <row r="208" spans="1:13" ht="18" customHeight="1" x14ac:dyDescent="0.25">
      <c r="A208" s="49"/>
      <c r="B208" s="244" t="s">
        <v>492</v>
      </c>
      <c r="C208" s="1335" t="str">
        <f>IF(AND(COUNTIF(M202:M203,"Yes")=2,C207&gt;0),"Yes","No")</f>
        <v>No</v>
      </c>
      <c r="D208" s="50"/>
      <c r="E208" s="49"/>
      <c r="F208" s="49"/>
      <c r="G208" s="49"/>
      <c r="H208" s="49"/>
      <c r="I208" s="49"/>
      <c r="J208" s="49"/>
      <c r="K208" s="49"/>
      <c r="L208" s="49"/>
      <c r="M208" s="49"/>
    </row>
    <row r="209" spans="1:13" ht="21" customHeight="1" x14ac:dyDescent="0.25">
      <c r="A209" s="49"/>
      <c r="B209" s="50"/>
      <c r="C209" s="50"/>
      <c r="D209" s="50"/>
      <c r="E209" s="49"/>
      <c r="F209" s="49"/>
      <c r="G209" s="49"/>
      <c r="H209" s="49"/>
      <c r="I209" s="49"/>
      <c r="J209" s="49"/>
      <c r="K209" s="49"/>
      <c r="L209" s="49"/>
      <c r="M209" s="49"/>
    </row>
    <row r="210" spans="1:13" ht="15" hidden="1" customHeight="1" x14ac:dyDescent="0.25"/>
    <row r="211" spans="1:13" ht="15" hidden="1" customHeight="1" x14ac:dyDescent="0.25"/>
    <row r="212" spans="1:13" ht="15" hidden="1" customHeight="1" x14ac:dyDescent="0.25"/>
    <row r="213" spans="1:13" ht="15" hidden="1" customHeight="1" x14ac:dyDescent="0.25"/>
    <row r="214" spans="1:13" ht="15" hidden="1" customHeight="1" x14ac:dyDescent="0.25"/>
    <row r="215" spans="1:13" ht="15" hidden="1" customHeight="1" x14ac:dyDescent="0.25"/>
    <row r="216" spans="1:13" ht="15" hidden="1" customHeight="1" x14ac:dyDescent="0.25"/>
    <row r="217" spans="1:13" ht="15" hidden="1" customHeight="1" x14ac:dyDescent="0.25"/>
    <row r="218" spans="1:13" ht="15" hidden="1" customHeight="1" x14ac:dyDescent="0.25"/>
    <row r="219" spans="1:13" ht="15" hidden="1" customHeight="1" x14ac:dyDescent="0.25"/>
    <row r="220" spans="1:13" ht="15" hidden="1" customHeight="1" x14ac:dyDescent="0.25"/>
    <row r="221" spans="1:13" ht="15" hidden="1" customHeight="1" x14ac:dyDescent="0.25"/>
    <row r="222" spans="1:13" ht="15" hidden="1" customHeight="1" x14ac:dyDescent="0.25"/>
    <row r="223" spans="1:13" ht="15" hidden="1" customHeight="1" x14ac:dyDescent="0.25"/>
  </sheetData>
  <sheetProtection algorithmName="SHA-512" hashValue="+6rC1X0jDsstySms+vkwgcmue3HbzSeqKQhPA7jjX+i9FYDss21DiKk/Mt4QpqjUy1dnKFyqjU7uIkCai+XFuA==" saltValue="Q2E76kOmylYc9tGBpURZNQ==" spinCount="100000" sheet="1" objects="1" scenarios="1"/>
  <dataConsolidate/>
  <mergeCells count="139">
    <mergeCell ref="B203:F203"/>
    <mergeCell ref="H203:I203"/>
    <mergeCell ref="A205:C205"/>
    <mergeCell ref="H195:J195"/>
    <mergeCell ref="B197:D197"/>
    <mergeCell ref="A199:C199"/>
    <mergeCell ref="B201:F201"/>
    <mergeCell ref="H201:I201"/>
    <mergeCell ref="B202:F202"/>
    <mergeCell ref="H202:I202"/>
    <mergeCell ref="H189:J189"/>
    <mergeCell ref="H190:J190"/>
    <mergeCell ref="H191:J191"/>
    <mergeCell ref="H192:J192"/>
    <mergeCell ref="H193:J193"/>
    <mergeCell ref="H194:J194"/>
    <mergeCell ref="A176:C176"/>
    <mergeCell ref="B183:G183"/>
    <mergeCell ref="H185:J185"/>
    <mergeCell ref="H186:J186"/>
    <mergeCell ref="H187:J187"/>
    <mergeCell ref="H188:J188"/>
    <mergeCell ref="B166:F166"/>
    <mergeCell ref="H166:I166"/>
    <mergeCell ref="B167:F167"/>
    <mergeCell ref="H167:I167"/>
    <mergeCell ref="A169:C169"/>
    <mergeCell ref="A174:L174"/>
    <mergeCell ref="I157:J157"/>
    <mergeCell ref="I158:J158"/>
    <mergeCell ref="I159:J159"/>
    <mergeCell ref="B161:D161"/>
    <mergeCell ref="A163:C163"/>
    <mergeCell ref="B165:F165"/>
    <mergeCell ref="H165:I165"/>
    <mergeCell ref="I151:J151"/>
    <mergeCell ref="I152:J152"/>
    <mergeCell ref="I153:J153"/>
    <mergeCell ref="I154:J154"/>
    <mergeCell ref="I155:J155"/>
    <mergeCell ref="I156:J156"/>
    <mergeCell ref="B141:H141"/>
    <mergeCell ref="B142:H142"/>
    <mergeCell ref="B147:H147"/>
    <mergeCell ref="E149:F149"/>
    <mergeCell ref="I149:J149"/>
    <mergeCell ref="I150:J150"/>
    <mergeCell ref="A134:C134"/>
    <mergeCell ref="B136:H136"/>
    <mergeCell ref="B137:H137"/>
    <mergeCell ref="B138:H138"/>
    <mergeCell ref="B139:H139"/>
    <mergeCell ref="B140:H140"/>
    <mergeCell ref="B124:F124"/>
    <mergeCell ref="H124:I124"/>
    <mergeCell ref="B125:F125"/>
    <mergeCell ref="H125:I125"/>
    <mergeCell ref="A127:C127"/>
    <mergeCell ref="A132:L132"/>
    <mergeCell ref="H115:J115"/>
    <mergeCell ref="H116:J116"/>
    <mergeCell ref="H117:J117"/>
    <mergeCell ref="B119:C119"/>
    <mergeCell ref="A121:C121"/>
    <mergeCell ref="B123:F123"/>
    <mergeCell ref="H123:I123"/>
    <mergeCell ref="H109:J109"/>
    <mergeCell ref="H110:J110"/>
    <mergeCell ref="H111:J111"/>
    <mergeCell ref="H112:J112"/>
    <mergeCell ref="H113:J113"/>
    <mergeCell ref="H114:J114"/>
    <mergeCell ref="A91:C91"/>
    <mergeCell ref="A96:L96"/>
    <mergeCell ref="A98:C98"/>
    <mergeCell ref="B105:G105"/>
    <mergeCell ref="H107:J107"/>
    <mergeCell ref="H108:J108"/>
    <mergeCell ref="A85:C85"/>
    <mergeCell ref="B87:F87"/>
    <mergeCell ref="H87:I87"/>
    <mergeCell ref="B88:F88"/>
    <mergeCell ref="H88:I88"/>
    <mergeCell ref="B89:F89"/>
    <mergeCell ref="H89:I89"/>
    <mergeCell ref="H77:J77"/>
    <mergeCell ref="H78:J78"/>
    <mergeCell ref="H79:J79"/>
    <mergeCell ref="H80:J80"/>
    <mergeCell ref="H81:J81"/>
    <mergeCell ref="B83:C83"/>
    <mergeCell ref="H71:J71"/>
    <mergeCell ref="H72:J72"/>
    <mergeCell ref="H73:J73"/>
    <mergeCell ref="H74:J74"/>
    <mergeCell ref="H75:J75"/>
    <mergeCell ref="H76:J76"/>
    <mergeCell ref="B54:F54"/>
    <mergeCell ref="H54:I54"/>
    <mergeCell ref="A56:C56"/>
    <mergeCell ref="A61:L61"/>
    <mergeCell ref="A63:C63"/>
    <mergeCell ref="B69:G69"/>
    <mergeCell ref="B48:C48"/>
    <mergeCell ref="A50:C50"/>
    <mergeCell ref="B52:F52"/>
    <mergeCell ref="H52:I52"/>
    <mergeCell ref="B53:F53"/>
    <mergeCell ref="H53:I53"/>
    <mergeCell ref="H41:J41"/>
    <mergeCell ref="H42:J42"/>
    <mergeCell ref="H43:J43"/>
    <mergeCell ref="H44:J44"/>
    <mergeCell ref="H45:J45"/>
    <mergeCell ref="H46:J46"/>
    <mergeCell ref="B34:G34"/>
    <mergeCell ref="H36:J36"/>
    <mergeCell ref="H37:J37"/>
    <mergeCell ref="H38:J38"/>
    <mergeCell ref="H39:J39"/>
    <mergeCell ref="H40:J40"/>
    <mergeCell ref="B24:K24"/>
    <mergeCell ref="A26:L26"/>
    <mergeCell ref="A28:C28"/>
    <mergeCell ref="B13:E13"/>
    <mergeCell ref="B14:E14"/>
    <mergeCell ref="B15:E15"/>
    <mergeCell ref="B16:E16"/>
    <mergeCell ref="B17:E17"/>
    <mergeCell ref="A19:L19"/>
    <mergeCell ref="A1:L1"/>
    <mergeCell ref="H2:J4"/>
    <mergeCell ref="A5:L7"/>
    <mergeCell ref="A9:L9"/>
    <mergeCell ref="B11:E11"/>
    <mergeCell ref="B12:E12"/>
    <mergeCell ref="B21:K21"/>
    <mergeCell ref="B22:K22"/>
    <mergeCell ref="B23:K23"/>
  </mergeCells>
  <conditionalFormatting sqref="G53:G54">
    <cfRule type="expression" dxfId="154" priority="25">
      <formula>$B53="/"</formula>
    </cfRule>
    <cfRule type="expression" dxfId="153" priority="26">
      <formula>$B53="No evidence required at this submission stage"</formula>
    </cfRule>
  </conditionalFormatting>
  <conditionalFormatting sqref="H53:I54">
    <cfRule type="expression" dxfId="152" priority="23">
      <formula>$B53="No evidence required at this submission stage"</formula>
    </cfRule>
    <cfRule type="expression" dxfId="151" priority="24">
      <formula>$B53="/"</formula>
    </cfRule>
  </conditionalFormatting>
  <conditionalFormatting sqref="G88:G89">
    <cfRule type="expression" dxfId="150" priority="21">
      <formula>$B88="/"</formula>
    </cfRule>
    <cfRule type="expression" dxfId="149" priority="22">
      <formula>$B88="No evidence required at this submission stage"</formula>
    </cfRule>
  </conditionalFormatting>
  <conditionalFormatting sqref="H88:I89">
    <cfRule type="expression" dxfId="148" priority="19">
      <formula>$B88="No evidence required at this submission stage"</formula>
    </cfRule>
    <cfRule type="expression" dxfId="147" priority="20">
      <formula>$B88="/"</formula>
    </cfRule>
  </conditionalFormatting>
  <conditionalFormatting sqref="G124:G125">
    <cfRule type="expression" dxfId="146" priority="17">
      <formula>$B124="/"</formula>
    </cfRule>
    <cfRule type="expression" dxfId="145" priority="18">
      <formula>$B124="No evidence required at this submission stage"</formula>
    </cfRule>
  </conditionalFormatting>
  <conditionalFormatting sqref="H124:I125">
    <cfRule type="expression" dxfId="144" priority="15">
      <formula>$B124="No evidence required at this submission stage"</formula>
    </cfRule>
    <cfRule type="expression" dxfId="143" priority="16">
      <formula>$B124="/"</formula>
    </cfRule>
  </conditionalFormatting>
  <conditionalFormatting sqref="G166:G167">
    <cfRule type="expression" dxfId="142" priority="13">
      <formula>$B166="/"</formula>
    </cfRule>
    <cfRule type="expression" dxfId="141" priority="14">
      <formula>$B166="No evidence required at this submission stage"</formula>
    </cfRule>
  </conditionalFormatting>
  <conditionalFormatting sqref="H166:I167">
    <cfRule type="expression" dxfId="140" priority="11">
      <formula>$B166="No evidence required at this submission stage"</formula>
    </cfRule>
    <cfRule type="expression" dxfId="139" priority="12">
      <formula>$B166="/"</formula>
    </cfRule>
  </conditionalFormatting>
  <conditionalFormatting sqref="D150:D159">
    <cfRule type="expression" dxfId="138" priority="10">
      <formula>$D150="Yes"</formula>
    </cfRule>
  </conditionalFormatting>
  <conditionalFormatting sqref="E150:F159">
    <cfRule type="expression" dxfId="137" priority="9">
      <formula>$D150&lt;&gt;"under concentration limit of 0.05 ppm"</formula>
    </cfRule>
  </conditionalFormatting>
  <conditionalFormatting sqref="G202:G203">
    <cfRule type="expression" dxfId="136" priority="7">
      <formula>$B202="/"</formula>
    </cfRule>
    <cfRule type="expression" dxfId="135" priority="8">
      <formula>$B202="No evidence required at this submission stage"</formula>
    </cfRule>
  </conditionalFormatting>
  <conditionalFormatting sqref="H202:I203">
    <cfRule type="expression" dxfId="134" priority="5">
      <formula>$B202="No evidence required at this submission stage"</formula>
    </cfRule>
    <cfRule type="expression" dxfId="133" priority="6">
      <formula>$B202="/"</formula>
    </cfRule>
  </conditionalFormatting>
  <conditionalFormatting sqref="E186:F195">
    <cfRule type="expression" dxfId="132" priority="4">
      <formula>$D186&lt;&gt;"Product with low-VOC content"</formula>
    </cfRule>
  </conditionalFormatting>
  <conditionalFormatting sqref="E37:F46">
    <cfRule type="expression" dxfId="131" priority="3">
      <formula>$D37&lt;&gt;"Product with low-VOC content"</formula>
    </cfRule>
  </conditionalFormatting>
  <conditionalFormatting sqref="E72:F81">
    <cfRule type="expression" dxfId="130" priority="2">
      <formula>$D72&lt;&gt;"Product with low-VOC content"</formula>
    </cfRule>
  </conditionalFormatting>
  <conditionalFormatting sqref="E108:F117">
    <cfRule type="expression" dxfId="129" priority="1">
      <formula>$D108&lt;&gt;"Product with low-VOC content"</formula>
    </cfRule>
  </conditionalFormatting>
  <dataValidations count="10">
    <dataValidation allowBlank="1" showInputMessage="1" showErrorMessage="1" prompt="Certified as low VOC products by which internationally or regionally recognised authorities?_x000a_VOC content limit set by which internationally or regionally recognised authorities?" sqref="H37:H46 H72:H81 I149 H186:H195 H108:H117" xr:uid="{00000000-0002-0000-2400-000000000000}"/>
    <dataValidation allowBlank="1" showInputMessage="1" showErrorMessage="1" prompt="Complete only if the product is not certified as low VOC " sqref="E185:E195 E71:E81 E36:E46 E107:E117" xr:uid="{00000000-0002-0000-2400-000001000000}"/>
    <dataValidation allowBlank="1" showInputMessage="1" showErrorMessage="1" prompt="Complete only if the product is not certified as low VOC._x000a_Use content limit value from any internationally or regionally recognised authorities (e.g. Singapore Green Label, California Air Resources Board, ISO, etc.)" sqref="F185:F195 F36:F46 F71:F81 F107:F117" xr:uid="{00000000-0002-0000-2400-000002000000}"/>
    <dataValidation type="list" allowBlank="1" showInputMessage="1" showErrorMessage="1" prompt="Select the unit for the formaldehyde content:_x000a_- ppm of formaldehyde_x000a_- or, mg/m2.h emission rate" sqref="F150:F159" xr:uid="{00000000-0002-0000-2400-000003000000}">
      <formula1>"Select,ppm,mg/m2.h"</formula1>
    </dataValidation>
    <dataValidation type="list" allowBlank="1" showInputMessage="1" showErrorMessage="1" sqref="G150:G159" xr:uid="{00000000-0002-0000-2400-000004000000}">
      <formula1>"Select, no added-urea formaldehyde,adhesive with urea-formaldehyde,no adhesive used"</formula1>
    </dataValidation>
    <dataValidation allowBlank="1" showInputMessage="1" showErrorMessage="1" prompt="Provide more details:_x000a_- Standard followed to measure formaldehyde content_x000a_- Type of adhseive used_x000a_- etc." sqref="I150:J159" xr:uid="{00000000-0002-0000-2400-000005000000}"/>
    <dataValidation type="list" allowBlank="1" showInputMessage="1" showErrorMessage="1" sqref="G53:G54 G88:G89 G124:G125 G166:G167 G202:G203" xr:uid="{00000000-0002-0000-2400-000006000000}">
      <formula1>"Select,Submitted,Not submitted"</formula1>
    </dataValidation>
    <dataValidation allowBlank="1" showInputMessage="1" showErrorMessage="1" prompt="(only if product is considered as low formaldehyde because the formaldehyde content is lower than the concentration limit of 0.05 ppm)" sqref="E149:F149 E150:E159" xr:uid="{00000000-0002-0000-2400-000007000000}"/>
    <dataValidation type="list" allowBlank="1" showInputMessage="1" showErrorMessage="1" sqref="D150:D159" xr:uid="{00000000-0002-0000-2400-000008000000}">
      <formula1>"Select,no UF and no PF resins, ULEF, NAF, under concentration limit of 0.05 ppm,salvaged/reused,No"</formula1>
    </dataValidation>
    <dataValidation type="list" allowBlank="1" showInputMessage="1" showErrorMessage="1" sqref="D186:D195 D37:D46 D72:D81 D108:D117" xr:uid="{00000000-0002-0000-2400-000009000000}">
      <formula1>"Select,Certified product,Product with low-VOC content,Inherently non-emitting product,No"</formula1>
    </dataValidation>
  </dataValidations>
  <hyperlinks>
    <hyperlink ref="K3" location="'H-2 Ventilation in wet areas'!E3" tooltip="H-2" display="H-2" xr:uid="{00000000-0004-0000-2400-000000000000}"/>
    <hyperlink ref="K2" location="'H-1 Fresh Air Supply'!B3" tooltip="H-1" display="H-1" xr:uid="{00000000-0004-0000-2400-000004000000}"/>
    <hyperlink ref="K4" location="'H-3 CO2 Monitoring'!B3" tooltip="H-3" display="H-3" xr:uid="{709C2E80-988F-4E13-B4D7-647166283269}"/>
    <hyperlink ref="L2" location="'H-5 Daylighting'!B3" tooltip="H-5" display="H-5" xr:uid="{253939A6-364F-4D09-AAC5-B6CFFAE067E1}"/>
    <hyperlink ref="L4" location="'H&amp;C BPC'!D3" tooltip="BPC" display="BPC" xr:uid="{C9DD785B-26FD-4E77-8B7E-56A757CCB929}"/>
    <hyperlink ref="L3" location="'H-6 External Views'!B3" tooltip="H-6" display="H-6" xr:uid="{0555B358-F5E4-423D-B40B-A14C6DD00EC2}"/>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43634"/>
  </sheetPr>
  <dimension ref="A1:V207"/>
  <sheetViews>
    <sheetView showRowColHeaders="0" workbookViewId="0">
      <pane ySplit="8" topLeftCell="A9" activePane="bottomLeft" state="frozen"/>
      <selection pane="bottomLeft" activeCell="Q4" sqref="Q4"/>
    </sheetView>
  </sheetViews>
  <sheetFormatPr defaultColWidth="0" defaultRowHeight="15" customHeight="1" zeroHeight="1" x14ac:dyDescent="0.25"/>
  <cols>
    <col min="1" max="1" width="3.7109375" style="38" customWidth="1"/>
    <col min="2" max="2" width="18.7109375" style="38" customWidth="1"/>
    <col min="3" max="3" width="12.7109375" style="38" customWidth="1"/>
    <col min="4" max="4" width="14.28515625" style="38" customWidth="1"/>
    <col min="5" max="5" width="13.85546875" style="38" customWidth="1"/>
    <col min="6" max="8" width="9" style="38" customWidth="1"/>
    <col min="9" max="9" width="11.28515625" style="38" customWidth="1"/>
    <col min="10" max="10" width="8.85546875" style="38" customWidth="1"/>
    <col min="11" max="13" width="8.7109375" style="38" customWidth="1"/>
    <col min="14" max="14" width="8.5703125" style="38" customWidth="1"/>
    <col min="15" max="15" width="8.140625" style="38" customWidth="1"/>
    <col min="16" max="16" width="11.140625" style="38" customWidth="1"/>
    <col min="17" max="17" width="11" style="38" customWidth="1"/>
    <col min="18" max="18" width="8.5703125" style="38" customWidth="1"/>
    <col min="19" max="16384" width="9.140625" style="38" hidden="1"/>
  </cols>
  <sheetData>
    <row r="1" spans="1:20" ht="23.25" x14ac:dyDescent="0.25">
      <c r="A1" s="2033" t="s">
        <v>1820</v>
      </c>
      <c r="B1" s="2033"/>
      <c r="C1" s="2033"/>
      <c r="D1" s="2033"/>
      <c r="E1" s="2033"/>
      <c r="F1" s="2033"/>
      <c r="G1" s="2033"/>
      <c r="H1" s="2033"/>
      <c r="I1" s="2033"/>
      <c r="J1" s="2033"/>
      <c r="K1" s="2033"/>
      <c r="L1" s="2033"/>
      <c r="M1" s="2033"/>
      <c r="N1" s="2033"/>
      <c r="O1" s="2033"/>
      <c r="P1" s="2033"/>
      <c r="Q1" s="2033"/>
      <c r="R1" s="2033"/>
      <c r="S1" s="48"/>
      <c r="T1" s="48"/>
    </row>
    <row r="2" spans="1:20" ht="15" customHeight="1" x14ac:dyDescent="0.25">
      <c r="A2" s="49"/>
      <c r="B2" s="50"/>
      <c r="C2" s="50"/>
      <c r="D2" s="50"/>
      <c r="E2" s="50"/>
      <c r="F2" s="49"/>
      <c r="G2" s="49"/>
      <c r="H2" s="49"/>
      <c r="I2" s="283"/>
      <c r="J2" s="283"/>
      <c r="K2" s="283"/>
      <c r="L2" s="283"/>
      <c r="M2" s="2086" t="s">
        <v>1362</v>
      </c>
      <c r="N2" s="2086"/>
      <c r="O2" s="2086"/>
      <c r="P2" s="2086"/>
      <c r="Q2" s="734" t="s">
        <v>80</v>
      </c>
      <c r="R2" s="734" t="s">
        <v>92</v>
      </c>
    </row>
    <row r="3" spans="1:20" ht="15" customHeight="1" x14ac:dyDescent="0.25">
      <c r="A3" s="49"/>
      <c r="B3" s="50"/>
      <c r="C3" s="50"/>
      <c r="D3" s="50"/>
      <c r="E3" s="50"/>
      <c r="F3" s="49"/>
      <c r="G3" s="49"/>
      <c r="H3" s="49"/>
      <c r="I3" s="283"/>
      <c r="J3" s="283"/>
      <c r="K3" s="283"/>
      <c r="L3" s="283"/>
      <c r="M3" s="2086"/>
      <c r="N3" s="2086"/>
      <c r="O3" s="2086"/>
      <c r="P3" s="2086"/>
      <c r="Q3" s="734" t="s">
        <v>82</v>
      </c>
      <c r="R3" s="734" t="s">
        <v>1788</v>
      </c>
    </row>
    <row r="4" spans="1:20" ht="15" customHeight="1" x14ac:dyDescent="0.25">
      <c r="A4" s="49"/>
      <c r="B4" s="50"/>
      <c r="C4" s="50"/>
      <c r="D4" s="50"/>
      <c r="E4" s="50"/>
      <c r="F4" s="49"/>
      <c r="G4" s="49"/>
      <c r="H4" s="49"/>
      <c r="I4" s="284"/>
      <c r="J4" s="284"/>
      <c r="K4" s="283"/>
      <c r="L4" s="283"/>
      <c r="M4" s="2087"/>
      <c r="N4" s="2087"/>
      <c r="O4" s="2087"/>
      <c r="P4" s="2087"/>
      <c r="Q4" s="734" t="s">
        <v>87</v>
      </c>
      <c r="R4" s="734" t="s">
        <v>76</v>
      </c>
    </row>
    <row r="5" spans="1:20" ht="21" customHeight="1" x14ac:dyDescent="0.25">
      <c r="A5" s="1600" t="s">
        <v>2651</v>
      </c>
      <c r="B5" s="1601"/>
      <c r="C5" s="1601"/>
      <c r="D5" s="1601"/>
      <c r="E5" s="1601"/>
      <c r="F5" s="1601"/>
      <c r="G5" s="1601"/>
      <c r="H5" s="1601"/>
      <c r="I5" s="1601"/>
      <c r="J5" s="1601"/>
      <c r="K5" s="1601"/>
      <c r="L5" s="1601"/>
      <c r="M5" s="1601"/>
      <c r="N5" s="1601"/>
      <c r="O5" s="1601"/>
      <c r="P5" s="1601"/>
      <c r="Q5" s="1601"/>
      <c r="R5" s="1601"/>
      <c r="S5" s="172"/>
      <c r="T5" s="173"/>
    </row>
    <row r="6" spans="1:20" ht="21" customHeight="1" x14ac:dyDescent="0.25">
      <c r="A6" s="1603"/>
      <c r="B6" s="1604"/>
      <c r="C6" s="1604"/>
      <c r="D6" s="1604"/>
      <c r="E6" s="1604"/>
      <c r="F6" s="1604"/>
      <c r="G6" s="1604"/>
      <c r="H6" s="1604"/>
      <c r="I6" s="1604"/>
      <c r="J6" s="1604"/>
      <c r="K6" s="1604"/>
      <c r="L6" s="1604"/>
      <c r="M6" s="1604"/>
      <c r="N6" s="1604"/>
      <c r="O6" s="1604"/>
      <c r="P6" s="1604"/>
      <c r="Q6" s="1604"/>
      <c r="R6" s="1604"/>
      <c r="S6" s="174"/>
      <c r="T6" s="175"/>
    </row>
    <row r="7" spans="1:20" ht="21" customHeight="1" x14ac:dyDescent="0.25">
      <c r="A7" s="1606"/>
      <c r="B7" s="1607"/>
      <c r="C7" s="1607"/>
      <c r="D7" s="1607"/>
      <c r="E7" s="1607"/>
      <c r="F7" s="1607"/>
      <c r="G7" s="1607"/>
      <c r="H7" s="1607"/>
      <c r="I7" s="1607"/>
      <c r="J7" s="1607"/>
      <c r="K7" s="1607"/>
      <c r="L7" s="1607"/>
      <c r="M7" s="1607"/>
      <c r="N7" s="1607"/>
      <c r="O7" s="1607"/>
      <c r="P7" s="1607"/>
      <c r="Q7" s="1607"/>
      <c r="R7" s="1607"/>
      <c r="S7" s="176"/>
      <c r="T7" s="177"/>
    </row>
    <row r="8" spans="1:20" ht="12" customHeight="1" x14ac:dyDescent="0.25">
      <c r="A8" s="49"/>
      <c r="B8" s="50"/>
      <c r="C8" s="50"/>
      <c r="D8" s="50"/>
      <c r="E8" s="50"/>
      <c r="F8" s="49"/>
      <c r="G8" s="49"/>
      <c r="H8" s="49"/>
      <c r="I8" s="49"/>
      <c r="J8" s="49"/>
      <c r="K8" s="49"/>
      <c r="L8" s="49"/>
      <c r="M8" s="49"/>
      <c r="N8" s="49"/>
      <c r="O8" s="49"/>
      <c r="P8" s="49"/>
      <c r="Q8" s="49"/>
      <c r="R8" s="49"/>
      <c r="S8" s="49"/>
      <c r="T8" s="49"/>
    </row>
    <row r="9" spans="1:20" ht="18" customHeight="1" x14ac:dyDescent="0.25">
      <c r="A9" s="2083" t="s">
        <v>177</v>
      </c>
      <c r="B9" s="2083"/>
      <c r="C9" s="2083"/>
      <c r="D9" s="2083"/>
      <c r="E9" s="2083"/>
      <c r="F9" s="2083"/>
      <c r="G9" s="2083"/>
      <c r="H9" s="2083"/>
      <c r="I9" s="2083"/>
      <c r="J9" s="2083"/>
      <c r="K9" s="2083"/>
      <c r="L9" s="2083"/>
      <c r="M9" s="2083"/>
      <c r="N9" s="2083"/>
      <c r="O9" s="2083"/>
      <c r="P9" s="2083"/>
      <c r="Q9" s="2083"/>
      <c r="R9" s="2083"/>
      <c r="S9" s="43"/>
      <c r="T9" s="43"/>
    </row>
    <row r="10" spans="1:20" x14ac:dyDescent="0.25">
      <c r="A10" s="49"/>
      <c r="B10" s="50"/>
      <c r="C10" s="50"/>
      <c r="D10" s="50"/>
      <c r="E10" s="50"/>
      <c r="F10" s="49"/>
      <c r="G10" s="49"/>
      <c r="H10" s="49"/>
      <c r="I10" s="49"/>
      <c r="J10" s="49"/>
      <c r="K10" s="49"/>
      <c r="L10" s="49"/>
      <c r="M10" s="49"/>
      <c r="N10" s="49"/>
      <c r="O10" s="49"/>
      <c r="P10" s="49"/>
      <c r="Q10" s="49"/>
      <c r="R10" s="49"/>
      <c r="S10" s="49"/>
      <c r="T10" s="49"/>
    </row>
    <row r="11" spans="1:20" ht="16.5" customHeight="1" x14ac:dyDescent="0.25">
      <c r="A11" s="49"/>
      <c r="B11" s="1910" t="s">
        <v>232</v>
      </c>
      <c r="C11" s="1910"/>
      <c r="D11" s="1910"/>
      <c r="E11" s="1909" t="s">
        <v>124</v>
      </c>
      <c r="F11" s="1909"/>
      <c r="G11" s="49"/>
      <c r="H11" s="49"/>
      <c r="I11" s="49"/>
      <c r="J11" s="49"/>
      <c r="K11" s="49"/>
      <c r="L11" s="49"/>
      <c r="M11" s="49"/>
      <c r="N11" s="49"/>
      <c r="O11" s="49"/>
      <c r="P11" s="49"/>
      <c r="Q11" s="49"/>
      <c r="R11" s="49"/>
      <c r="S11" s="49"/>
      <c r="T11" s="49"/>
    </row>
    <row r="12" spans="1:20" x14ac:dyDescent="0.25">
      <c r="A12" s="49"/>
      <c r="B12" s="50"/>
      <c r="C12" s="50"/>
      <c r="D12" s="50"/>
      <c r="E12" s="50"/>
      <c r="F12" s="49"/>
      <c r="G12" s="49"/>
      <c r="H12" s="49"/>
      <c r="I12" s="49"/>
      <c r="J12" s="49"/>
      <c r="K12" s="49"/>
      <c r="L12" s="49"/>
      <c r="M12" s="49"/>
      <c r="N12" s="49"/>
      <c r="O12" s="49"/>
      <c r="P12" s="49"/>
      <c r="Q12" s="49"/>
      <c r="R12" s="49"/>
      <c r="S12" s="49"/>
      <c r="T12" s="49"/>
    </row>
    <row r="13" spans="1:20" ht="21" customHeight="1" x14ac:dyDescent="0.25">
      <c r="A13" s="49"/>
      <c r="B13" s="2100" t="s">
        <v>193</v>
      </c>
      <c r="C13" s="2100"/>
      <c r="D13" s="2100"/>
      <c r="E13" s="2100"/>
      <c r="F13" s="2100"/>
      <c r="G13" s="2100"/>
      <c r="H13" s="2101"/>
      <c r="I13" s="2102" t="s">
        <v>152</v>
      </c>
      <c r="J13" s="2103"/>
      <c r="K13" s="2102" t="s">
        <v>53</v>
      </c>
      <c r="L13" s="2103"/>
      <c r="M13" s="2102" t="s">
        <v>492</v>
      </c>
      <c r="N13" s="2116"/>
      <c r="O13" s="49"/>
      <c r="P13" s="49"/>
      <c r="Q13" s="49"/>
      <c r="R13" s="49"/>
      <c r="S13" s="49"/>
      <c r="T13" s="49"/>
    </row>
    <row r="14" spans="1:20" ht="39" customHeight="1" x14ac:dyDescent="0.25">
      <c r="A14" s="49"/>
      <c r="B14" s="2084" t="s">
        <v>2426</v>
      </c>
      <c r="C14" s="2084"/>
      <c r="D14" s="2084"/>
      <c r="E14" s="2084"/>
      <c r="F14" s="2084"/>
      <c r="G14" s="2084"/>
      <c r="H14" s="2084"/>
      <c r="I14" s="1722">
        <v>3</v>
      </c>
      <c r="J14" s="1722"/>
      <c r="K14" s="1722">
        <f>IF(E11="Prescriptive Path",C98,0)</f>
        <v>0</v>
      </c>
      <c r="L14" s="1722"/>
      <c r="M14" s="1722" t="str">
        <f>IF(E11="Prescriptive Path",C99,"No")</f>
        <v>No</v>
      </c>
      <c r="N14" s="1722"/>
      <c r="O14" s="49"/>
      <c r="P14" s="49"/>
      <c r="Q14" s="49"/>
      <c r="R14" s="49"/>
      <c r="S14" s="49"/>
      <c r="T14" s="49"/>
    </row>
    <row r="15" spans="1:20" x14ac:dyDescent="0.25">
      <c r="A15" s="49"/>
      <c r="B15" s="50"/>
      <c r="C15" s="50"/>
      <c r="D15" s="50"/>
      <c r="E15" s="50"/>
      <c r="F15" s="49"/>
      <c r="G15" s="49"/>
      <c r="H15" s="49"/>
      <c r="I15" s="49"/>
      <c r="J15" s="49"/>
      <c r="K15" s="49"/>
      <c r="L15" s="49"/>
      <c r="M15" s="49"/>
      <c r="N15" s="49"/>
      <c r="O15" s="49"/>
      <c r="P15" s="49"/>
      <c r="Q15" s="49"/>
      <c r="R15" s="49"/>
      <c r="S15" s="49"/>
      <c r="T15" s="49"/>
    </row>
    <row r="16" spans="1:20" ht="21" customHeight="1" x14ac:dyDescent="0.25">
      <c r="A16" s="49"/>
      <c r="B16" s="2100" t="s">
        <v>192</v>
      </c>
      <c r="C16" s="2100"/>
      <c r="D16" s="2100"/>
      <c r="E16" s="2100"/>
      <c r="F16" s="2100"/>
      <c r="G16" s="2100"/>
      <c r="H16" s="2101"/>
      <c r="I16" s="2102" t="s">
        <v>152</v>
      </c>
      <c r="J16" s="2103"/>
      <c r="K16" s="2102" t="s">
        <v>53</v>
      </c>
      <c r="L16" s="2103"/>
      <c r="M16" s="2102" t="s">
        <v>492</v>
      </c>
      <c r="N16" s="2116"/>
      <c r="O16" s="49"/>
      <c r="P16" s="49"/>
      <c r="Q16" s="49"/>
      <c r="R16" s="49"/>
      <c r="S16" s="49"/>
      <c r="T16" s="49"/>
    </row>
    <row r="17" spans="1:20" ht="42" customHeight="1" x14ac:dyDescent="0.25">
      <c r="A17" s="49"/>
      <c r="B17" s="2084" t="s">
        <v>2091</v>
      </c>
      <c r="C17" s="2084" t="s">
        <v>128</v>
      </c>
      <c r="D17" s="2084" t="s">
        <v>128</v>
      </c>
      <c r="E17" s="2084" t="s">
        <v>128</v>
      </c>
      <c r="F17" s="2084">
        <v>3</v>
      </c>
      <c r="G17" s="2084"/>
      <c r="H17" s="2084"/>
      <c r="I17" s="1722">
        <v>3</v>
      </c>
      <c r="J17" s="1722"/>
      <c r="K17" s="1722">
        <f>IF(E11="Performance Path",C144,0)</f>
        <v>0</v>
      </c>
      <c r="L17" s="1722"/>
      <c r="M17" s="1722" t="str">
        <f>IF(E11="Prescriptive Path",C145,"No")</f>
        <v>No</v>
      </c>
      <c r="N17" s="1722"/>
      <c r="O17" s="49"/>
      <c r="P17" s="49"/>
      <c r="Q17" s="49"/>
      <c r="R17" s="49"/>
      <c r="S17" s="49"/>
      <c r="T17" s="49"/>
    </row>
    <row r="18" spans="1:20" ht="16.5" customHeight="1" x14ac:dyDescent="0.25">
      <c r="A18" s="49"/>
      <c r="B18" s="50"/>
      <c r="C18" s="50"/>
      <c r="D18" s="50"/>
      <c r="E18" s="50"/>
      <c r="F18" s="49"/>
      <c r="G18" s="49"/>
      <c r="H18" s="49"/>
      <c r="I18" s="49"/>
      <c r="J18" s="49"/>
      <c r="K18" s="49"/>
      <c r="L18" s="49"/>
      <c r="M18" s="49"/>
      <c r="N18" s="49"/>
      <c r="O18" s="49"/>
      <c r="P18" s="49"/>
      <c r="Q18" s="49"/>
      <c r="R18" s="49"/>
      <c r="S18" s="49"/>
      <c r="T18" s="49"/>
    </row>
    <row r="19" spans="1:20" ht="18" customHeight="1" x14ac:dyDescent="0.25">
      <c r="A19" s="2016" t="s">
        <v>1096</v>
      </c>
      <c r="B19" s="2016"/>
      <c r="C19" s="2016"/>
      <c r="D19" s="2016"/>
      <c r="E19" s="2016"/>
      <c r="F19" s="2016"/>
      <c r="G19" s="2016"/>
      <c r="H19" s="2016"/>
      <c r="I19" s="2016"/>
      <c r="J19" s="2016"/>
      <c r="K19" s="2016"/>
      <c r="L19" s="2016"/>
      <c r="M19" s="2016"/>
      <c r="N19" s="2016"/>
      <c r="O19" s="2016"/>
      <c r="P19" s="2016"/>
      <c r="Q19" s="2016"/>
      <c r="R19" s="2016"/>
      <c r="S19" s="52"/>
      <c r="T19" s="52"/>
    </row>
    <row r="20" spans="1:20" ht="16.5" customHeight="1" x14ac:dyDescent="0.25">
      <c r="A20" s="49"/>
      <c r="B20" s="50"/>
      <c r="C20" s="50"/>
      <c r="D20" s="50"/>
      <c r="E20" s="50"/>
      <c r="F20" s="49"/>
      <c r="G20" s="49"/>
      <c r="H20" s="49"/>
      <c r="I20" s="49"/>
      <c r="J20" s="49"/>
      <c r="K20" s="49"/>
      <c r="L20" s="49"/>
      <c r="M20" s="49"/>
      <c r="N20" s="49"/>
      <c r="O20" s="49"/>
      <c r="P20" s="49"/>
      <c r="Q20" s="49"/>
      <c r="R20" s="49"/>
      <c r="S20" s="49"/>
      <c r="T20" s="49"/>
    </row>
    <row r="21" spans="1:20" ht="15" customHeight="1" x14ac:dyDescent="0.25">
      <c r="A21" s="49"/>
      <c r="B21" s="1788" t="s">
        <v>1355</v>
      </c>
      <c r="C21" s="1789"/>
      <c r="D21" s="1789"/>
      <c r="E21" s="1789"/>
      <c r="F21" s="1789"/>
      <c r="G21" s="1789"/>
      <c r="H21" s="1789"/>
      <c r="I21" s="1790"/>
      <c r="J21" s="49"/>
      <c r="K21" s="49"/>
      <c r="L21" s="49"/>
      <c r="M21" s="49"/>
      <c r="N21" s="49"/>
      <c r="O21" s="49"/>
      <c r="P21" s="49"/>
      <c r="Q21" s="49"/>
      <c r="R21" s="49"/>
      <c r="S21" s="49"/>
      <c r="T21" s="49"/>
    </row>
    <row r="22" spans="1:20" ht="15" customHeight="1" x14ac:dyDescent="0.25">
      <c r="A22" s="49"/>
      <c r="B22" s="1906" t="s">
        <v>1358</v>
      </c>
      <c r="C22" s="1783"/>
      <c r="D22" s="1783"/>
      <c r="E22" s="1783"/>
      <c r="F22" s="1783"/>
      <c r="G22" s="1783"/>
      <c r="H22" s="1783"/>
      <c r="I22" s="1784"/>
      <c r="J22" s="49"/>
      <c r="K22" s="49"/>
      <c r="L22" s="49"/>
      <c r="M22" s="49"/>
      <c r="N22" s="49"/>
      <c r="O22" s="49"/>
      <c r="P22" s="49"/>
      <c r="Q22" s="49"/>
      <c r="R22" s="49"/>
      <c r="S22" s="49"/>
      <c r="T22" s="49"/>
    </row>
    <row r="23" spans="1:20" ht="15" customHeight="1" x14ac:dyDescent="0.25">
      <c r="A23" s="49"/>
      <c r="B23" s="1906" t="s">
        <v>1356</v>
      </c>
      <c r="C23" s="1783"/>
      <c r="D23" s="1783"/>
      <c r="E23" s="1783"/>
      <c r="F23" s="1783"/>
      <c r="G23" s="1783"/>
      <c r="H23" s="1783"/>
      <c r="I23" s="1784"/>
      <c r="J23" s="49"/>
      <c r="K23" s="49"/>
      <c r="L23" s="49"/>
      <c r="M23" s="49"/>
      <c r="N23" s="49"/>
      <c r="O23" s="49"/>
      <c r="P23" s="49"/>
      <c r="Q23" s="49"/>
      <c r="R23" s="49"/>
      <c r="S23" s="49"/>
      <c r="T23" s="49"/>
    </row>
    <row r="24" spans="1:20" ht="15" customHeight="1" x14ac:dyDescent="0.25">
      <c r="A24" s="49"/>
      <c r="B24" s="1903" t="s">
        <v>1357</v>
      </c>
      <c r="C24" s="1904"/>
      <c r="D24" s="1904"/>
      <c r="E24" s="1904"/>
      <c r="F24" s="1904"/>
      <c r="G24" s="1904"/>
      <c r="H24" s="1904"/>
      <c r="I24" s="1905"/>
      <c r="J24" s="49"/>
      <c r="K24" s="49"/>
      <c r="L24" s="49"/>
      <c r="M24" s="49"/>
      <c r="N24" s="49"/>
      <c r="O24" s="49"/>
      <c r="P24" s="49"/>
      <c r="Q24" s="49"/>
      <c r="R24" s="49"/>
      <c r="S24" s="49"/>
      <c r="T24" s="49"/>
    </row>
    <row r="25" spans="1:20" ht="16.5" customHeight="1" x14ac:dyDescent="0.25">
      <c r="A25" s="49"/>
      <c r="B25" s="50"/>
      <c r="C25" s="50"/>
      <c r="D25" s="50"/>
      <c r="E25" s="50"/>
      <c r="F25" s="49"/>
      <c r="G25" s="49"/>
      <c r="H25" s="49"/>
      <c r="I25" s="49"/>
      <c r="J25" s="49"/>
      <c r="K25" s="49"/>
      <c r="L25" s="49"/>
      <c r="M25" s="49"/>
      <c r="N25" s="49"/>
      <c r="O25" s="49"/>
      <c r="P25" s="49"/>
      <c r="Q25" s="49"/>
      <c r="R25" s="49"/>
      <c r="S25" s="49"/>
      <c r="T25" s="49"/>
    </row>
    <row r="26" spans="1:20" ht="18" customHeight="1" x14ac:dyDescent="0.25">
      <c r="A26" s="2016" t="s">
        <v>16</v>
      </c>
      <c r="B26" s="2016"/>
      <c r="C26" s="2016"/>
      <c r="D26" s="2016"/>
      <c r="E26" s="2016"/>
      <c r="F26" s="2016"/>
      <c r="G26" s="2016"/>
      <c r="H26" s="2016"/>
      <c r="I26" s="2016"/>
      <c r="J26" s="2016"/>
      <c r="K26" s="2016"/>
      <c r="L26" s="2016"/>
      <c r="M26" s="2016"/>
      <c r="N26" s="2016"/>
      <c r="O26" s="2016"/>
      <c r="P26" s="2016"/>
      <c r="Q26" s="2016"/>
      <c r="R26" s="2016"/>
      <c r="S26" s="52"/>
      <c r="T26" s="52"/>
    </row>
    <row r="27" spans="1:20" x14ac:dyDescent="0.25">
      <c r="A27" s="197"/>
      <c r="B27" s="197"/>
      <c r="C27" s="197"/>
      <c r="D27" s="197"/>
      <c r="E27" s="197"/>
      <c r="F27" s="190"/>
      <c r="G27" s="190"/>
      <c r="H27" s="190"/>
      <c r="I27" s="190"/>
      <c r="J27" s="190"/>
      <c r="K27" s="190"/>
      <c r="L27" s="190"/>
      <c r="M27" s="190"/>
      <c r="N27" s="190"/>
      <c r="O27" s="190"/>
      <c r="P27" s="190"/>
      <c r="Q27" s="190"/>
      <c r="R27" s="190"/>
      <c r="S27" s="190"/>
      <c r="T27" s="190"/>
    </row>
    <row r="28" spans="1:20" ht="16.5" customHeight="1" x14ac:dyDescent="0.25">
      <c r="A28" s="2068" t="s">
        <v>245</v>
      </c>
      <c r="B28" s="2068"/>
      <c r="C28" s="2068"/>
      <c r="D28" s="197"/>
      <c r="E28" s="197"/>
      <c r="F28" s="197"/>
      <c r="G28" s="197"/>
      <c r="H28" s="197"/>
      <c r="I28" s="197"/>
      <c r="J28" s="197"/>
      <c r="K28" s="197"/>
      <c r="L28" s="190"/>
      <c r="M28" s="190"/>
      <c r="N28" s="190"/>
      <c r="O28" s="190"/>
      <c r="P28" s="190"/>
      <c r="Q28" s="190"/>
      <c r="R28" s="190"/>
      <c r="S28" s="190"/>
      <c r="T28" s="190"/>
    </row>
    <row r="29" spans="1:20" x14ac:dyDescent="0.25">
      <c r="A29" s="197"/>
      <c r="B29" s="197"/>
      <c r="C29" s="197"/>
      <c r="D29" s="197"/>
      <c r="E29" s="197"/>
      <c r="F29" s="197"/>
      <c r="G29" s="197"/>
      <c r="H29" s="197"/>
      <c r="I29" s="197"/>
      <c r="J29" s="197"/>
      <c r="K29" s="197"/>
      <c r="L29" s="190"/>
      <c r="M29" s="190"/>
      <c r="N29" s="190"/>
      <c r="O29" s="190"/>
      <c r="P29" s="190"/>
      <c r="Q29" s="190"/>
      <c r="R29" s="190"/>
      <c r="S29" s="190"/>
      <c r="T29" s="190"/>
    </row>
    <row r="30" spans="1:20" x14ac:dyDescent="0.25">
      <c r="A30" s="197"/>
      <c r="B30" s="760" t="s">
        <v>2671</v>
      </c>
      <c r="C30" s="197"/>
      <c r="D30" s="197"/>
      <c r="E30" s="197"/>
      <c r="F30" s="197"/>
      <c r="G30" s="197"/>
      <c r="H30" s="197"/>
      <c r="I30" s="197"/>
      <c r="J30" s="197"/>
      <c r="K30" s="197"/>
      <c r="L30" s="190"/>
      <c r="M30" s="190"/>
      <c r="N30" s="190"/>
      <c r="O30" s="190"/>
      <c r="P30" s="190"/>
      <c r="Q30" s="190"/>
      <c r="R30" s="190"/>
      <c r="S30" s="190"/>
      <c r="T30" s="190"/>
    </row>
    <row r="31" spans="1:20" ht="18" customHeight="1" x14ac:dyDescent="0.25">
      <c r="A31" s="197"/>
      <c r="B31" s="197"/>
      <c r="C31" s="197"/>
      <c r="D31" s="197"/>
      <c r="E31" s="197"/>
      <c r="F31" s="197"/>
      <c r="G31" s="197"/>
      <c r="H31" s="197"/>
      <c r="I31" s="197"/>
      <c r="J31" s="197"/>
      <c r="K31" s="197"/>
      <c r="L31" s="190"/>
      <c r="M31" s="190"/>
      <c r="N31" s="190"/>
      <c r="O31" s="190"/>
      <c r="P31" s="190"/>
      <c r="Q31" s="190"/>
      <c r="R31" s="190"/>
      <c r="S31" s="190"/>
      <c r="T31" s="190"/>
    </row>
    <row r="32" spans="1:20" x14ac:dyDescent="0.25">
      <c r="A32" s="197"/>
      <c r="B32" s="754" t="s">
        <v>1351</v>
      </c>
      <c r="C32" s="197"/>
      <c r="D32" s="197"/>
      <c r="E32" s="197"/>
      <c r="F32" s="197"/>
      <c r="G32" s="197"/>
      <c r="H32" s="197"/>
      <c r="I32" s="197"/>
      <c r="J32" s="197"/>
      <c r="K32" s="197"/>
      <c r="L32" s="190"/>
      <c r="M32" s="190"/>
      <c r="N32" s="190"/>
      <c r="O32" s="190"/>
      <c r="P32" s="190"/>
      <c r="Q32" s="190"/>
      <c r="R32" s="190"/>
      <c r="S32" s="190"/>
      <c r="T32" s="190"/>
    </row>
    <row r="33" spans="1:20" x14ac:dyDescent="0.25">
      <c r="A33" s="197"/>
      <c r="B33" s="197"/>
      <c r="C33" s="197"/>
      <c r="D33" s="197"/>
      <c r="E33" s="197"/>
      <c r="F33" s="197"/>
      <c r="G33" s="197"/>
      <c r="H33" s="197"/>
      <c r="I33" s="402"/>
      <c r="J33" s="402"/>
      <c r="K33" s="402"/>
      <c r="L33" s="402"/>
      <c r="M33" s="402"/>
      <c r="N33" s="402"/>
      <c r="O33" s="402"/>
      <c r="P33" s="190"/>
      <c r="Q33" s="190"/>
      <c r="R33" s="190"/>
      <c r="S33" s="190"/>
      <c r="T33" s="190"/>
    </row>
    <row r="34" spans="1:20" ht="13.5" customHeight="1" x14ac:dyDescent="0.25">
      <c r="A34" s="197"/>
      <c r="B34" s="2098" t="s">
        <v>732</v>
      </c>
      <c r="C34" s="2098"/>
      <c r="D34" s="2098"/>
      <c r="E34" s="2098"/>
      <c r="F34" s="755"/>
      <c r="G34" s="2095" t="s">
        <v>733</v>
      </c>
      <c r="H34" s="2095"/>
      <c r="I34" s="2095"/>
      <c r="J34" s="2095"/>
      <c r="K34" s="2095"/>
      <c r="L34" s="2095"/>
      <c r="M34" s="2095"/>
      <c r="N34" s="2095"/>
      <c r="O34" s="2095"/>
      <c r="P34" s="2095"/>
      <c r="Q34" s="724"/>
      <c r="R34" s="190"/>
      <c r="S34" s="190"/>
      <c r="T34" s="190"/>
    </row>
    <row r="35" spans="1:20" ht="13.5" customHeight="1" x14ac:dyDescent="0.25">
      <c r="A35" s="197"/>
      <c r="B35" s="2098"/>
      <c r="C35" s="2098"/>
      <c r="D35" s="2098"/>
      <c r="E35" s="2098"/>
      <c r="F35" s="755"/>
      <c r="G35" s="2095"/>
      <c r="H35" s="2095"/>
      <c r="I35" s="2095"/>
      <c r="J35" s="2095"/>
      <c r="K35" s="2095"/>
      <c r="L35" s="2095"/>
      <c r="M35" s="2095"/>
      <c r="N35" s="2095"/>
      <c r="O35" s="2095"/>
      <c r="P35" s="2095"/>
      <c r="Q35" s="724"/>
      <c r="R35" s="190"/>
      <c r="S35" s="190"/>
      <c r="T35" s="190"/>
    </row>
    <row r="36" spans="1:20" ht="13.5" customHeight="1" x14ac:dyDescent="0.25">
      <c r="A36" s="197"/>
      <c r="B36" s="2098"/>
      <c r="C36" s="2098"/>
      <c r="D36" s="2098"/>
      <c r="E36" s="2098"/>
      <c r="F36" s="755"/>
      <c r="G36" s="2095"/>
      <c r="H36" s="2095"/>
      <c r="I36" s="2095"/>
      <c r="J36" s="2095"/>
      <c r="K36" s="2095"/>
      <c r="L36" s="2095"/>
      <c r="M36" s="2095"/>
      <c r="N36" s="2095"/>
      <c r="O36" s="2095"/>
      <c r="P36" s="2095"/>
      <c r="Q36" s="724"/>
      <c r="R36" s="190"/>
      <c r="S36" s="190"/>
      <c r="T36" s="190"/>
    </row>
    <row r="37" spans="1:20" ht="15" customHeight="1" x14ac:dyDescent="0.25">
      <c r="A37" s="197"/>
      <c r="B37" s="2098"/>
      <c r="C37" s="2098"/>
      <c r="D37" s="2098"/>
      <c r="E37" s="2098"/>
      <c r="F37" s="755"/>
      <c r="G37" s="2096" t="s">
        <v>1348</v>
      </c>
      <c r="H37" s="2096"/>
      <c r="I37" s="2096"/>
      <c r="J37" s="2096"/>
      <c r="K37" s="2096"/>
      <c r="L37" s="2096"/>
      <c r="M37" s="2096"/>
      <c r="N37" s="2096"/>
      <c r="O37" s="2096"/>
      <c r="P37" s="2096"/>
      <c r="Q37" s="725"/>
      <c r="R37" s="190"/>
      <c r="S37" s="190"/>
      <c r="T37" s="190"/>
    </row>
    <row r="38" spans="1:20" x14ac:dyDescent="0.25">
      <c r="A38" s="197"/>
      <c r="B38" s="2098"/>
      <c r="C38" s="2098"/>
      <c r="D38" s="2098"/>
      <c r="E38" s="2098"/>
      <c r="F38" s="755"/>
      <c r="G38" s="2096"/>
      <c r="H38" s="2096"/>
      <c r="I38" s="2096"/>
      <c r="J38" s="2096"/>
      <c r="K38" s="2096"/>
      <c r="L38" s="2096"/>
      <c r="M38" s="2096"/>
      <c r="N38" s="2096"/>
      <c r="O38" s="2096"/>
      <c r="P38" s="2096"/>
      <c r="Q38" s="725"/>
      <c r="R38" s="190"/>
      <c r="S38" s="190"/>
      <c r="T38" s="190"/>
    </row>
    <row r="39" spans="1:20" ht="15" customHeight="1" x14ac:dyDescent="0.25">
      <c r="A39" s="197"/>
      <c r="B39" s="2098"/>
      <c r="C39" s="2098"/>
      <c r="D39" s="2098"/>
      <c r="E39" s="2098"/>
      <c r="F39" s="197"/>
      <c r="G39" s="2095" t="s">
        <v>1350</v>
      </c>
      <c r="H39" s="2095"/>
      <c r="I39" s="2095"/>
      <c r="J39" s="2095"/>
      <c r="K39" s="2095"/>
      <c r="L39" s="2095"/>
      <c r="M39" s="2095"/>
      <c r="N39" s="2095"/>
      <c r="O39" s="2095"/>
      <c r="P39" s="2095"/>
      <c r="Q39" s="724"/>
      <c r="R39" s="190"/>
      <c r="S39" s="190"/>
      <c r="T39" s="190"/>
    </row>
    <row r="40" spans="1:20" x14ac:dyDescent="0.25">
      <c r="A40" s="197"/>
      <c r="B40" s="197"/>
      <c r="C40" s="197"/>
      <c r="D40" s="197"/>
      <c r="E40" s="197"/>
      <c r="F40" s="197"/>
      <c r="G40" s="2095"/>
      <c r="H40" s="2095"/>
      <c r="I40" s="2095"/>
      <c r="J40" s="2095"/>
      <c r="K40" s="2095"/>
      <c r="L40" s="2095"/>
      <c r="M40" s="2095"/>
      <c r="N40" s="2095"/>
      <c r="O40" s="2095"/>
      <c r="P40" s="2095"/>
      <c r="Q40" s="724"/>
      <c r="R40" s="190"/>
      <c r="S40" s="190"/>
      <c r="T40" s="190"/>
    </row>
    <row r="41" spans="1:20" x14ac:dyDescent="0.25">
      <c r="A41" s="197"/>
      <c r="B41" s="197"/>
      <c r="C41" s="197"/>
      <c r="D41" s="197"/>
      <c r="E41" s="197"/>
      <c r="F41" s="197"/>
      <c r="G41" s="2095"/>
      <c r="H41" s="2095"/>
      <c r="I41" s="2095"/>
      <c r="J41" s="2095"/>
      <c r="K41" s="2095"/>
      <c r="L41" s="2095"/>
      <c r="M41" s="2095"/>
      <c r="N41" s="2095"/>
      <c r="O41" s="2095"/>
      <c r="P41" s="2095"/>
      <c r="Q41" s="724"/>
      <c r="R41" s="190"/>
      <c r="S41" s="190"/>
      <c r="T41" s="190"/>
    </row>
    <row r="42" spans="1:20" x14ac:dyDescent="0.25">
      <c r="A42" s="197"/>
      <c r="B42" s="197"/>
      <c r="C42" s="197"/>
      <c r="D42" s="197"/>
      <c r="E42" s="197"/>
      <c r="F42" s="197"/>
      <c r="G42" s="2095"/>
      <c r="H42" s="2095"/>
      <c r="I42" s="2095"/>
      <c r="J42" s="2095"/>
      <c r="K42" s="2095"/>
      <c r="L42" s="2095"/>
      <c r="M42" s="2095"/>
      <c r="N42" s="2095"/>
      <c r="O42" s="2095"/>
      <c r="P42" s="2095"/>
      <c r="Q42" s="724"/>
      <c r="R42" s="190"/>
      <c r="S42" s="190"/>
      <c r="T42" s="190"/>
    </row>
    <row r="43" spans="1:20" x14ac:dyDescent="0.25">
      <c r="A43" s="197"/>
      <c r="B43" s="197"/>
      <c r="C43" s="197"/>
      <c r="D43" s="197"/>
      <c r="E43" s="197"/>
      <c r="F43" s="197"/>
      <c r="G43" s="197"/>
      <c r="H43" s="404"/>
      <c r="I43" s="404"/>
      <c r="J43" s="404"/>
      <c r="K43" s="404"/>
      <c r="L43" s="404"/>
      <c r="M43" s="190"/>
      <c r="N43" s="190"/>
      <c r="O43" s="190"/>
      <c r="P43" s="190"/>
      <c r="Q43" s="190"/>
      <c r="R43" s="190"/>
      <c r="S43" s="190"/>
      <c r="T43" s="190"/>
    </row>
    <row r="44" spans="1:20" x14ac:dyDescent="0.25">
      <c r="A44" s="197"/>
      <c r="B44" s="197"/>
      <c r="C44" s="197"/>
      <c r="D44" s="197"/>
      <c r="E44" s="197"/>
      <c r="F44" s="197"/>
      <c r="G44" s="197"/>
      <c r="H44" s="404"/>
      <c r="I44" s="404"/>
      <c r="J44" s="404"/>
      <c r="K44" s="404"/>
      <c r="L44" s="404"/>
      <c r="M44" s="190"/>
      <c r="N44" s="190"/>
      <c r="O44" s="190"/>
      <c r="P44" s="190"/>
      <c r="Q44" s="190"/>
      <c r="R44" s="190"/>
      <c r="S44" s="190"/>
      <c r="T44" s="190"/>
    </row>
    <row r="45" spans="1:20" x14ac:dyDescent="0.25">
      <c r="A45" s="197"/>
      <c r="B45" s="197"/>
      <c r="C45" s="197"/>
      <c r="D45" s="197"/>
      <c r="E45" s="197"/>
      <c r="F45" s="197"/>
      <c r="G45" s="197"/>
      <c r="H45" s="197"/>
      <c r="I45" s="197"/>
      <c r="J45" s="197"/>
      <c r="K45" s="197"/>
      <c r="L45" s="190"/>
      <c r="M45" s="190"/>
      <c r="N45" s="190"/>
      <c r="O45" s="190"/>
      <c r="P45" s="190"/>
      <c r="Q45" s="190"/>
      <c r="R45" s="190"/>
      <c r="S45" s="190"/>
      <c r="T45" s="190"/>
    </row>
    <row r="46" spans="1:20" ht="15" customHeight="1" x14ac:dyDescent="0.25">
      <c r="A46" s="197"/>
      <c r="B46" s="403"/>
      <c r="C46" s="403"/>
      <c r="D46" s="403"/>
      <c r="E46" s="403"/>
      <c r="F46" s="403"/>
      <c r="G46" s="402"/>
      <c r="H46" s="402"/>
      <c r="I46" s="402"/>
      <c r="J46" s="402"/>
      <c r="K46" s="402"/>
      <c r="L46" s="402"/>
      <c r="M46" s="402"/>
      <c r="N46" s="402"/>
      <c r="O46" s="402"/>
      <c r="P46" s="190"/>
      <c r="Q46" s="190"/>
      <c r="R46" s="190"/>
      <c r="S46" s="190"/>
      <c r="T46" s="190"/>
    </row>
    <row r="47" spans="1:20" x14ac:dyDescent="0.25">
      <c r="A47" s="197"/>
      <c r="B47" s="403"/>
      <c r="C47" s="403"/>
      <c r="D47" s="403"/>
      <c r="E47" s="403"/>
      <c r="F47" s="403"/>
      <c r="G47" s="402"/>
      <c r="H47" s="402"/>
      <c r="I47" s="197"/>
      <c r="J47" s="197"/>
      <c r="K47" s="197"/>
      <c r="L47" s="190"/>
      <c r="M47" s="190"/>
      <c r="N47" s="190"/>
      <c r="O47" s="190"/>
      <c r="P47" s="190"/>
      <c r="Q47" s="190"/>
      <c r="R47" s="190"/>
      <c r="S47" s="190"/>
      <c r="T47" s="190"/>
    </row>
    <row r="48" spans="1:20" x14ac:dyDescent="0.25">
      <c r="A48" s="197"/>
      <c r="B48" s="403"/>
      <c r="C48" s="403"/>
      <c r="D48" s="403"/>
      <c r="E48" s="403"/>
      <c r="F48" s="403"/>
      <c r="G48" s="402"/>
      <c r="H48" s="402"/>
      <c r="I48" s="197"/>
      <c r="J48" s="197"/>
      <c r="K48" s="197"/>
      <c r="L48" s="197"/>
      <c r="M48" s="197"/>
      <c r="N48" s="197"/>
      <c r="O48" s="197"/>
      <c r="P48" s="190"/>
      <c r="Q48" s="190"/>
      <c r="R48" s="190"/>
      <c r="S48" s="190"/>
      <c r="T48" s="190"/>
    </row>
    <row r="49" spans="1:20" x14ac:dyDescent="0.25">
      <c r="A49" s="197"/>
      <c r="B49" s="403"/>
      <c r="C49" s="403"/>
      <c r="D49" s="403"/>
      <c r="E49" s="403"/>
      <c r="F49" s="403"/>
      <c r="G49" s="402"/>
      <c r="H49" s="402"/>
      <c r="I49" s="197"/>
      <c r="J49" s="197"/>
      <c r="K49" s="197"/>
      <c r="L49" s="197"/>
      <c r="M49" s="197"/>
      <c r="N49" s="197"/>
      <c r="O49" s="197"/>
      <c r="P49" s="190"/>
      <c r="Q49" s="190"/>
      <c r="R49" s="190"/>
      <c r="S49" s="190"/>
      <c r="T49" s="190"/>
    </row>
    <row r="50" spans="1:20" x14ac:dyDescent="0.25">
      <c r="A50" s="197"/>
      <c r="B50" s="403"/>
      <c r="C50" s="403"/>
      <c r="D50" s="403"/>
      <c r="E50" s="403"/>
      <c r="F50" s="403"/>
      <c r="G50" s="402"/>
      <c r="H50" s="402"/>
      <c r="I50" s="197"/>
      <c r="J50" s="197"/>
      <c r="K50" s="197"/>
      <c r="L50" s="190"/>
      <c r="M50" s="190"/>
      <c r="N50" s="190"/>
      <c r="O50" s="190"/>
      <c r="P50" s="190"/>
      <c r="Q50" s="190"/>
      <c r="R50" s="190"/>
      <c r="S50" s="190"/>
      <c r="T50" s="190"/>
    </row>
    <row r="51" spans="1:20" x14ac:dyDescent="0.25">
      <c r="A51" s="197"/>
      <c r="B51" s="2094"/>
      <c r="C51" s="2094"/>
      <c r="D51" s="2094"/>
      <c r="E51" s="2094"/>
      <c r="F51" s="403"/>
      <c r="G51" s="402"/>
      <c r="H51" s="402"/>
      <c r="I51" s="197"/>
      <c r="J51" s="197"/>
      <c r="K51" s="197"/>
      <c r="L51" s="190"/>
      <c r="M51" s="190"/>
      <c r="N51" s="190"/>
      <c r="O51" s="190"/>
      <c r="P51" s="190"/>
      <c r="Q51" s="190"/>
      <c r="R51" s="190"/>
      <c r="S51" s="190"/>
      <c r="T51" s="190"/>
    </row>
    <row r="52" spans="1:20" x14ac:dyDescent="0.25">
      <c r="A52" s="197"/>
      <c r="B52" s="757"/>
      <c r="C52" s="757"/>
      <c r="D52" s="757"/>
      <c r="E52" s="757"/>
      <c r="F52" s="403"/>
      <c r="G52" s="402"/>
      <c r="H52" s="402"/>
      <c r="I52" s="197"/>
      <c r="J52" s="197"/>
      <c r="K52" s="197"/>
      <c r="L52" s="190"/>
      <c r="M52" s="190"/>
      <c r="N52" s="190"/>
      <c r="O52" s="190"/>
      <c r="P52" s="190"/>
      <c r="Q52" s="190"/>
      <c r="R52" s="190"/>
      <c r="S52" s="190"/>
      <c r="T52" s="190"/>
    </row>
    <row r="53" spans="1:20" x14ac:dyDescent="0.25">
      <c r="A53" s="197"/>
      <c r="B53" s="2094"/>
      <c r="C53" s="2094"/>
      <c r="D53" s="2094"/>
      <c r="E53" s="2094"/>
      <c r="F53" s="403"/>
      <c r="G53" s="402"/>
      <c r="H53" s="402"/>
      <c r="I53" s="197"/>
      <c r="J53" s="197"/>
      <c r="K53" s="197"/>
      <c r="L53" s="190"/>
      <c r="M53" s="190"/>
      <c r="N53" s="190"/>
      <c r="O53" s="190"/>
      <c r="P53" s="190"/>
      <c r="Q53" s="190"/>
      <c r="R53" s="190"/>
      <c r="S53" s="190"/>
      <c r="T53" s="190"/>
    </row>
    <row r="54" spans="1:20" x14ac:dyDescent="0.25">
      <c r="A54" s="197"/>
      <c r="B54" s="2097" t="s">
        <v>1349</v>
      </c>
      <c r="C54" s="2097"/>
      <c r="D54" s="2097"/>
      <c r="E54" s="2097"/>
      <c r="F54" s="403"/>
      <c r="G54" s="197"/>
      <c r="H54" s="197"/>
      <c r="I54" s="197"/>
      <c r="J54" s="197"/>
      <c r="K54" s="197"/>
      <c r="L54" s="190"/>
      <c r="M54" s="190"/>
      <c r="N54" s="190"/>
      <c r="O54" s="190"/>
      <c r="P54" s="190"/>
      <c r="Q54" s="190"/>
      <c r="R54" s="190"/>
      <c r="S54" s="190"/>
      <c r="T54" s="190"/>
    </row>
    <row r="55" spans="1:20" ht="50.1" customHeight="1" x14ac:dyDescent="0.25">
      <c r="A55" s="197"/>
      <c r="B55" s="403"/>
      <c r="C55" s="403"/>
      <c r="D55" s="403"/>
      <c r="E55" s="403"/>
      <c r="F55" s="403"/>
      <c r="G55" s="403"/>
      <c r="H55" s="403"/>
      <c r="I55" s="197"/>
      <c r="J55" s="197"/>
      <c r="K55" s="197"/>
      <c r="L55" s="190"/>
      <c r="M55" s="190"/>
      <c r="N55" s="190"/>
      <c r="O55" s="190"/>
      <c r="P55" s="190"/>
      <c r="Q55" s="190"/>
      <c r="R55" s="190"/>
      <c r="S55" s="190"/>
      <c r="T55" s="190"/>
    </row>
    <row r="56" spans="1:20" ht="15" customHeight="1" x14ac:dyDescent="0.25">
      <c r="A56" s="197"/>
      <c r="B56" s="404"/>
      <c r="C56" s="404"/>
      <c r="D56" s="404"/>
      <c r="E56" s="404"/>
      <c r="F56" s="404"/>
      <c r="G56" s="404"/>
      <c r="H56" s="404"/>
      <c r="I56" s="197"/>
      <c r="J56" s="197"/>
      <c r="K56" s="197"/>
      <c r="L56" s="190"/>
      <c r="M56" s="190"/>
      <c r="N56" s="190"/>
      <c r="O56" s="190"/>
      <c r="P56" s="190"/>
      <c r="Q56" s="190"/>
      <c r="R56" s="190"/>
      <c r="S56" s="190"/>
      <c r="T56" s="190"/>
    </row>
    <row r="57" spans="1:20" x14ac:dyDescent="0.25">
      <c r="A57" s="197"/>
      <c r="B57" s="404"/>
      <c r="C57" s="404"/>
      <c r="D57" s="404"/>
      <c r="E57" s="404"/>
      <c r="F57" s="404"/>
      <c r="G57" s="404"/>
      <c r="H57" s="404"/>
      <c r="I57" s="197"/>
      <c r="J57" s="197"/>
      <c r="K57" s="197"/>
      <c r="L57" s="190"/>
      <c r="M57" s="190"/>
      <c r="N57" s="190"/>
      <c r="O57" s="190"/>
      <c r="P57" s="190"/>
      <c r="Q57" s="190"/>
      <c r="R57" s="190"/>
      <c r="S57" s="190"/>
      <c r="T57" s="190"/>
    </row>
    <row r="58" spans="1:20" x14ac:dyDescent="0.25">
      <c r="A58" s="197"/>
      <c r="B58" s="404"/>
      <c r="C58" s="404"/>
      <c r="D58" s="404"/>
      <c r="E58" s="404"/>
      <c r="F58" s="404"/>
      <c r="G58" s="404"/>
      <c r="H58" s="404"/>
      <c r="I58" s="197"/>
      <c r="J58" s="197"/>
      <c r="K58" s="197"/>
      <c r="L58" s="190"/>
      <c r="M58" s="190"/>
      <c r="N58" s="190"/>
      <c r="O58" s="190"/>
      <c r="P58" s="190"/>
      <c r="Q58" s="190"/>
      <c r="R58" s="190"/>
      <c r="S58" s="190"/>
      <c r="T58" s="190"/>
    </row>
    <row r="59" spans="1:20" x14ac:dyDescent="0.25">
      <c r="A59" s="197"/>
      <c r="B59" s="404"/>
      <c r="C59" s="404"/>
      <c r="D59" s="404"/>
      <c r="E59" s="404"/>
      <c r="F59" s="404"/>
      <c r="G59" s="404"/>
      <c r="H59" s="404"/>
      <c r="I59" s="197"/>
      <c r="J59" s="197"/>
      <c r="K59" s="197"/>
      <c r="L59" s="190"/>
      <c r="M59" s="190"/>
      <c r="N59" s="190"/>
      <c r="O59" s="190"/>
      <c r="P59" s="190"/>
      <c r="Q59" s="190"/>
      <c r="R59" s="190"/>
      <c r="S59" s="190"/>
      <c r="T59" s="190"/>
    </row>
    <row r="60" spans="1:20" x14ac:dyDescent="0.25">
      <c r="A60" s="197"/>
      <c r="B60" s="404"/>
      <c r="C60" s="404"/>
      <c r="D60" s="404"/>
      <c r="E60" s="404"/>
      <c r="F60" s="404"/>
      <c r="G60" s="404"/>
      <c r="H60" s="404"/>
      <c r="I60" s="197"/>
      <c r="J60" s="197"/>
      <c r="K60" s="197"/>
      <c r="L60" s="190"/>
      <c r="M60" s="190"/>
      <c r="N60" s="190"/>
      <c r="O60" s="190"/>
      <c r="P60" s="190"/>
      <c r="Q60" s="190"/>
      <c r="R60" s="190"/>
      <c r="S60" s="190"/>
      <c r="T60" s="190"/>
    </row>
    <row r="61" spans="1:20" x14ac:dyDescent="0.25">
      <c r="A61" s="197"/>
      <c r="B61" s="404"/>
      <c r="C61" s="404"/>
      <c r="D61" s="404"/>
      <c r="E61" s="404"/>
      <c r="F61" s="404"/>
      <c r="G61" s="404"/>
      <c r="H61" s="404"/>
      <c r="I61" s="197"/>
      <c r="J61" s="197"/>
      <c r="K61" s="197"/>
      <c r="L61" s="190"/>
      <c r="M61" s="190"/>
      <c r="N61" s="190"/>
      <c r="O61" s="190"/>
      <c r="P61" s="190"/>
      <c r="Q61" s="190"/>
      <c r="R61" s="190"/>
      <c r="S61" s="190"/>
      <c r="T61" s="190"/>
    </row>
    <row r="62" spans="1:20" x14ac:dyDescent="0.25">
      <c r="A62" s="197"/>
      <c r="B62" s="404"/>
      <c r="C62" s="404"/>
      <c r="D62" s="404"/>
      <c r="E62" s="404"/>
      <c r="F62" s="404"/>
      <c r="G62" s="404"/>
      <c r="H62" s="404"/>
      <c r="I62" s="197"/>
      <c r="J62" s="197"/>
      <c r="K62" s="197"/>
      <c r="L62" s="190"/>
      <c r="M62" s="190"/>
      <c r="N62" s="190"/>
      <c r="O62" s="190"/>
      <c r="P62" s="190"/>
      <c r="Q62" s="190"/>
      <c r="R62" s="190"/>
      <c r="S62" s="190"/>
      <c r="T62" s="190"/>
    </row>
    <row r="63" spans="1:20" ht="15" customHeight="1" x14ac:dyDescent="0.25">
      <c r="A63" s="197"/>
      <c r="B63" s="404"/>
      <c r="C63" s="404"/>
      <c r="D63" s="404"/>
      <c r="E63" s="404"/>
      <c r="F63" s="404"/>
      <c r="G63" s="2099" t="s">
        <v>1507</v>
      </c>
      <c r="H63" s="2099"/>
      <c r="I63" s="2099"/>
      <c r="J63" s="2099"/>
      <c r="K63" s="2099"/>
      <c r="L63" s="851"/>
      <c r="M63" s="2099" t="s">
        <v>1508</v>
      </c>
      <c r="N63" s="2099"/>
      <c r="O63" s="2099"/>
      <c r="P63" s="2099"/>
      <c r="Q63" s="2099"/>
      <c r="R63" s="851"/>
      <c r="S63" s="190"/>
      <c r="T63" s="190"/>
    </row>
    <row r="64" spans="1:20" ht="16.5" customHeight="1" x14ac:dyDescent="0.25">
      <c r="A64" s="197"/>
      <c r="B64" s="402"/>
      <c r="C64" s="402"/>
      <c r="D64" s="402"/>
      <c r="E64" s="402"/>
      <c r="F64" s="756"/>
      <c r="G64" s="2099"/>
      <c r="H64" s="2099"/>
      <c r="I64" s="2099"/>
      <c r="J64" s="2099"/>
      <c r="K64" s="2099"/>
      <c r="L64" s="851"/>
      <c r="M64" s="2099"/>
      <c r="N64" s="2099"/>
      <c r="O64" s="2099"/>
      <c r="P64" s="2099"/>
      <c r="Q64" s="2099"/>
      <c r="R64" s="851"/>
      <c r="S64" s="190"/>
      <c r="T64" s="190"/>
    </row>
    <row r="65" spans="1:22" ht="16.5" customHeight="1" x14ac:dyDescent="0.25">
      <c r="A65" s="2068" t="s">
        <v>23</v>
      </c>
      <c r="B65" s="2068"/>
      <c r="C65" s="2068"/>
      <c r="D65" s="197"/>
      <c r="E65" s="197"/>
      <c r="F65" s="197"/>
      <c r="G65" s="197"/>
      <c r="H65" s="197"/>
      <c r="I65" s="197"/>
      <c r="J65" s="197"/>
      <c r="K65" s="197"/>
      <c r="L65" s="190"/>
      <c r="M65" s="190"/>
      <c r="N65" s="190"/>
      <c r="O65" s="190"/>
      <c r="P65" s="190"/>
      <c r="Q65" s="190"/>
      <c r="R65" s="190"/>
      <c r="S65" s="190"/>
      <c r="T65" s="190"/>
    </row>
    <row r="66" spans="1:22" x14ac:dyDescent="0.25">
      <c r="A66" s="197"/>
      <c r="B66" s="197"/>
      <c r="C66" s="197"/>
      <c r="D66" s="197"/>
      <c r="E66" s="197"/>
      <c r="F66" s="197"/>
      <c r="G66" s="197"/>
      <c r="H66" s="197"/>
      <c r="I66" s="197"/>
      <c r="J66" s="197"/>
      <c r="K66" s="197"/>
      <c r="L66" s="190"/>
      <c r="M66" s="190"/>
      <c r="N66" s="190"/>
      <c r="O66" s="190"/>
      <c r="P66" s="190"/>
      <c r="Q66" s="190"/>
      <c r="R66" s="190"/>
      <c r="S66" s="190"/>
      <c r="T66" s="190"/>
    </row>
    <row r="67" spans="1:22" ht="15" customHeight="1" x14ac:dyDescent="0.25">
      <c r="A67" s="197"/>
      <c r="B67" s="634" t="s">
        <v>1875</v>
      </c>
      <c r="C67" s="634"/>
      <c r="D67" s="634"/>
      <c r="E67" s="634"/>
      <c r="F67" s="634"/>
      <c r="G67" s="634"/>
      <c r="H67" s="197"/>
      <c r="I67" s="197"/>
      <c r="J67" s="197"/>
      <c r="K67" s="197"/>
      <c r="L67" s="190"/>
      <c r="M67" s="190"/>
      <c r="N67" s="190"/>
      <c r="O67" s="190"/>
      <c r="P67" s="190"/>
      <c r="Q67" s="190"/>
      <c r="R67" s="190"/>
      <c r="S67" s="190"/>
      <c r="T67" s="190"/>
    </row>
    <row r="68" spans="1:22" ht="11.25" customHeight="1" x14ac:dyDescent="0.25">
      <c r="A68" s="197"/>
      <c r="B68" s="197"/>
      <c r="C68" s="197"/>
      <c r="D68" s="197"/>
      <c r="E68" s="197"/>
      <c r="F68" s="197"/>
      <c r="G68" s="197"/>
      <c r="H68" s="197"/>
      <c r="I68" s="197"/>
      <c r="J68" s="197"/>
      <c r="K68" s="197"/>
      <c r="L68" s="190"/>
      <c r="M68" s="190"/>
      <c r="N68" s="190"/>
      <c r="O68" s="190"/>
      <c r="P68" s="190"/>
      <c r="Q68" s="190"/>
      <c r="R68" s="190"/>
      <c r="S68" s="190"/>
      <c r="T68" s="190"/>
    </row>
    <row r="69" spans="1:22" ht="18" customHeight="1" x14ac:dyDescent="0.25">
      <c r="A69" s="197"/>
      <c r="B69" s="903" t="s">
        <v>1623</v>
      </c>
      <c r="C69" s="197"/>
      <c r="D69" s="197"/>
      <c r="E69" s="197"/>
      <c r="F69" s="197"/>
      <c r="G69" s="197"/>
      <c r="H69" s="197"/>
      <c r="I69" s="197"/>
      <c r="J69" s="197"/>
      <c r="K69" s="197"/>
      <c r="L69" s="190"/>
      <c r="M69" s="190"/>
      <c r="N69" s="190"/>
      <c r="O69" s="190"/>
      <c r="P69" s="190"/>
      <c r="Q69" s="190"/>
      <c r="R69" s="190"/>
      <c r="S69" s="190"/>
      <c r="T69" s="190"/>
    </row>
    <row r="70" spans="1:22" ht="12" customHeight="1" x14ac:dyDescent="0.25">
      <c r="A70" s="197"/>
      <c r="B70" s="197"/>
      <c r="C70" s="197"/>
      <c r="D70" s="197"/>
      <c r="E70" s="197"/>
      <c r="F70" s="197"/>
      <c r="G70" s="197"/>
      <c r="H70" s="197"/>
      <c r="I70" s="197"/>
      <c r="J70" s="197"/>
      <c r="K70" s="197"/>
      <c r="L70" s="190"/>
      <c r="M70" s="190"/>
      <c r="N70" s="190"/>
      <c r="O70" s="190"/>
      <c r="P70" s="190"/>
      <c r="Q70" s="190"/>
      <c r="R70" s="190"/>
      <c r="S70" s="190"/>
      <c r="T70" s="190"/>
    </row>
    <row r="71" spans="1:22" ht="23.25" customHeight="1" x14ac:dyDescent="0.25">
      <c r="A71" s="1282"/>
      <c r="B71" s="1281" t="s">
        <v>2092</v>
      </c>
      <c r="C71" s="737" t="s">
        <v>40</v>
      </c>
      <c r="D71" s="2052" t="s">
        <v>1352</v>
      </c>
      <c r="E71" s="2052"/>
      <c r="F71" s="2052" t="s">
        <v>1353</v>
      </c>
      <c r="G71" s="2052"/>
      <c r="H71" s="2052"/>
      <c r="I71" s="2052" t="s">
        <v>172</v>
      </c>
      <c r="J71" s="2053"/>
      <c r="K71" s="197"/>
      <c r="L71" s="197"/>
      <c r="M71" s="197"/>
      <c r="N71" s="190"/>
      <c r="O71" s="190"/>
      <c r="P71" s="190"/>
      <c r="Q71" s="190"/>
      <c r="R71" s="190"/>
      <c r="S71" s="190"/>
      <c r="T71" s="190"/>
      <c r="U71" s="190"/>
      <c r="V71" s="190"/>
    </row>
    <row r="72" spans="1:22" ht="15.75" customHeight="1" x14ac:dyDescent="0.25">
      <c r="A72" s="1282"/>
      <c r="B72" s="1272"/>
      <c r="C72" s="723"/>
      <c r="D72" s="2001"/>
      <c r="E72" s="2001"/>
      <c r="F72" s="2001"/>
      <c r="G72" s="2001"/>
      <c r="H72" s="2001"/>
      <c r="I72" s="2085" t="str">
        <f>IF(C72="","",IF((D72+F72)&gt;=0.75*C72,"Yes","No"))</f>
        <v/>
      </c>
      <c r="J72" s="2085"/>
      <c r="K72" s="197"/>
      <c r="L72" s="197"/>
      <c r="M72" s="197"/>
      <c r="N72" s="190"/>
      <c r="O72" s="190"/>
      <c r="P72" s="190"/>
      <c r="Q72" s="190"/>
      <c r="R72" s="190"/>
      <c r="S72" s="190"/>
      <c r="T72" s="190"/>
      <c r="U72" s="190"/>
      <c r="V72" s="190"/>
    </row>
    <row r="73" spans="1:22" ht="15.75" customHeight="1" x14ac:dyDescent="0.25">
      <c r="A73" s="1282"/>
      <c r="B73" s="395"/>
      <c r="C73" s="887"/>
      <c r="D73" s="2001"/>
      <c r="E73" s="2001"/>
      <c r="F73" s="2001"/>
      <c r="G73" s="2001"/>
      <c r="H73" s="2001"/>
      <c r="I73" s="2085" t="str">
        <f t="shared" ref="I73:I86" si="0">IF(C73="","",IF((D73+F73)&gt;=0.75*C73,"Yes","No"))</f>
        <v/>
      </c>
      <c r="J73" s="2085"/>
      <c r="K73" s="197"/>
      <c r="L73" s="197"/>
      <c r="M73" s="197"/>
      <c r="N73" s="190"/>
      <c r="O73" s="190"/>
      <c r="P73" s="190"/>
      <c r="Q73" s="190"/>
      <c r="R73" s="190"/>
      <c r="S73" s="190"/>
      <c r="T73" s="190"/>
      <c r="U73" s="190"/>
      <c r="V73" s="190"/>
    </row>
    <row r="74" spans="1:22" ht="15.75" customHeight="1" x14ac:dyDescent="0.25">
      <c r="A74" s="197"/>
      <c r="B74" s="395"/>
      <c r="C74" s="887"/>
      <c r="D74" s="2001"/>
      <c r="E74" s="2001"/>
      <c r="F74" s="2001"/>
      <c r="G74" s="2001"/>
      <c r="H74" s="2001"/>
      <c r="I74" s="2085" t="str">
        <f t="shared" si="0"/>
        <v/>
      </c>
      <c r="J74" s="2085"/>
      <c r="K74" s="197"/>
      <c r="L74" s="197"/>
      <c r="M74" s="197"/>
      <c r="N74" s="190"/>
      <c r="O74" s="190"/>
      <c r="P74" s="190"/>
      <c r="Q74" s="190"/>
      <c r="R74" s="190"/>
      <c r="S74" s="190"/>
      <c r="T74" s="190"/>
      <c r="U74" s="190"/>
      <c r="V74" s="190"/>
    </row>
    <row r="75" spans="1:22" ht="15.75" customHeight="1" x14ac:dyDescent="0.25">
      <c r="A75" s="197"/>
      <c r="B75" s="395"/>
      <c r="C75" s="887"/>
      <c r="D75" s="2001"/>
      <c r="E75" s="2001"/>
      <c r="F75" s="2001"/>
      <c r="G75" s="2001"/>
      <c r="H75" s="2001"/>
      <c r="I75" s="2085" t="str">
        <f t="shared" si="0"/>
        <v/>
      </c>
      <c r="J75" s="2085"/>
      <c r="K75" s="197"/>
      <c r="L75" s="197"/>
      <c r="M75" s="197"/>
      <c r="N75" s="190"/>
      <c r="O75" s="190"/>
      <c r="P75" s="190"/>
      <c r="Q75" s="190"/>
      <c r="R75" s="190"/>
      <c r="S75" s="190"/>
      <c r="T75" s="190"/>
      <c r="U75" s="190"/>
      <c r="V75" s="190"/>
    </row>
    <row r="76" spans="1:22" ht="15.75" customHeight="1" x14ac:dyDescent="0.25">
      <c r="A76" s="197"/>
      <c r="B76" s="395"/>
      <c r="C76" s="887"/>
      <c r="D76" s="2001"/>
      <c r="E76" s="2001"/>
      <c r="F76" s="2001"/>
      <c r="G76" s="2001"/>
      <c r="H76" s="2001"/>
      <c r="I76" s="2085" t="str">
        <f t="shared" si="0"/>
        <v/>
      </c>
      <c r="J76" s="2085"/>
      <c r="K76" s="197"/>
      <c r="L76" s="197"/>
      <c r="M76" s="197"/>
      <c r="N76" s="190"/>
      <c r="O76" s="190"/>
      <c r="P76" s="190"/>
      <c r="Q76" s="190"/>
      <c r="R76" s="190"/>
      <c r="S76" s="190"/>
      <c r="T76" s="190"/>
      <c r="U76" s="190"/>
      <c r="V76" s="190"/>
    </row>
    <row r="77" spans="1:22" ht="15.75" customHeight="1" x14ac:dyDescent="0.25">
      <c r="A77" s="197"/>
      <c r="B77" s="1277"/>
      <c r="C77" s="1277"/>
      <c r="D77" s="2001"/>
      <c r="E77" s="2001"/>
      <c r="F77" s="2001"/>
      <c r="G77" s="2001"/>
      <c r="H77" s="2001"/>
      <c r="I77" s="2085" t="str">
        <f t="shared" si="0"/>
        <v/>
      </c>
      <c r="J77" s="2085"/>
      <c r="K77" s="197"/>
      <c r="L77" s="197"/>
      <c r="M77" s="197"/>
      <c r="N77" s="190"/>
      <c r="O77" s="190"/>
      <c r="P77" s="190"/>
      <c r="Q77" s="190"/>
      <c r="R77" s="190"/>
      <c r="S77" s="190"/>
      <c r="T77" s="190"/>
      <c r="U77" s="190"/>
      <c r="V77" s="190"/>
    </row>
    <row r="78" spans="1:22" ht="15.75" customHeight="1" x14ac:dyDescent="0.25">
      <c r="A78" s="197"/>
      <c r="B78" s="1272"/>
      <c r="C78" s="1277"/>
      <c r="D78" s="2001"/>
      <c r="E78" s="2001"/>
      <c r="F78" s="2001"/>
      <c r="G78" s="2001"/>
      <c r="H78" s="2001"/>
      <c r="I78" s="2085" t="str">
        <f t="shared" si="0"/>
        <v/>
      </c>
      <c r="J78" s="2085"/>
      <c r="K78" s="197"/>
      <c r="L78" s="197"/>
      <c r="M78" s="197"/>
      <c r="N78" s="190"/>
      <c r="O78" s="190"/>
      <c r="P78" s="190"/>
      <c r="Q78" s="190"/>
      <c r="R78" s="190"/>
      <c r="S78" s="190"/>
      <c r="T78" s="190"/>
      <c r="U78" s="190"/>
      <c r="V78" s="190"/>
    </row>
    <row r="79" spans="1:22" ht="15.75" customHeight="1" x14ac:dyDescent="0.25">
      <c r="A79" s="197"/>
      <c r="B79" s="1272"/>
      <c r="C79" s="1277"/>
      <c r="D79" s="2001"/>
      <c r="E79" s="2001"/>
      <c r="F79" s="2001"/>
      <c r="G79" s="2001"/>
      <c r="H79" s="2001"/>
      <c r="I79" s="2085" t="str">
        <f t="shared" si="0"/>
        <v/>
      </c>
      <c r="J79" s="2085"/>
      <c r="K79" s="197"/>
      <c r="L79" s="197"/>
      <c r="M79" s="197"/>
      <c r="N79" s="190"/>
      <c r="O79" s="190"/>
      <c r="P79" s="190"/>
      <c r="Q79" s="190"/>
      <c r="R79" s="190"/>
      <c r="S79" s="190"/>
      <c r="T79" s="190"/>
      <c r="U79" s="190"/>
      <c r="V79" s="190"/>
    </row>
    <row r="80" spans="1:22" ht="15.75" customHeight="1" x14ac:dyDescent="0.25">
      <c r="A80" s="197"/>
      <c r="B80" s="1272"/>
      <c r="C80" s="1277"/>
      <c r="D80" s="2001"/>
      <c r="E80" s="2001"/>
      <c r="F80" s="2001"/>
      <c r="G80" s="2001"/>
      <c r="H80" s="2001"/>
      <c r="I80" s="2085" t="str">
        <f t="shared" si="0"/>
        <v/>
      </c>
      <c r="J80" s="2085"/>
      <c r="K80" s="197"/>
      <c r="L80" s="197"/>
      <c r="M80" s="197"/>
      <c r="N80" s="190"/>
      <c r="O80" s="190"/>
      <c r="P80" s="190"/>
      <c r="Q80" s="190"/>
      <c r="R80" s="190"/>
      <c r="S80" s="190"/>
      <c r="T80" s="190"/>
      <c r="U80" s="190"/>
      <c r="V80" s="190"/>
    </row>
    <row r="81" spans="1:22" ht="15.75" customHeight="1" x14ac:dyDescent="0.25">
      <c r="A81" s="197"/>
      <c r="B81" s="1272"/>
      <c r="C81" s="1277"/>
      <c r="D81" s="2001"/>
      <c r="E81" s="2001"/>
      <c r="F81" s="2001"/>
      <c r="G81" s="2001"/>
      <c r="H81" s="2001"/>
      <c r="I81" s="2085" t="str">
        <f t="shared" si="0"/>
        <v/>
      </c>
      <c r="J81" s="2085"/>
      <c r="K81" s="197"/>
      <c r="L81" s="197"/>
      <c r="M81" s="197"/>
      <c r="N81" s="190"/>
      <c r="O81" s="190"/>
      <c r="P81" s="190"/>
      <c r="Q81" s="190"/>
      <c r="R81" s="190"/>
      <c r="S81" s="190"/>
      <c r="T81" s="190"/>
      <c r="U81" s="190"/>
      <c r="V81" s="190"/>
    </row>
    <row r="82" spans="1:22" ht="15.75" customHeight="1" x14ac:dyDescent="0.25">
      <c r="A82" s="197"/>
      <c r="B82" s="395"/>
      <c r="C82" s="887"/>
      <c r="D82" s="2001"/>
      <c r="E82" s="2001"/>
      <c r="F82" s="2001"/>
      <c r="G82" s="2001"/>
      <c r="H82" s="2001"/>
      <c r="I82" s="2085" t="str">
        <f t="shared" si="0"/>
        <v/>
      </c>
      <c r="J82" s="2085"/>
      <c r="K82" s="197"/>
      <c r="L82" s="197"/>
      <c r="M82" s="197"/>
      <c r="N82" s="190"/>
      <c r="O82" s="190"/>
      <c r="P82" s="190"/>
      <c r="Q82" s="190"/>
      <c r="R82" s="190"/>
      <c r="S82" s="190"/>
      <c r="T82" s="190"/>
      <c r="U82" s="190"/>
      <c r="V82" s="190"/>
    </row>
    <row r="83" spans="1:22" ht="15.75" customHeight="1" x14ac:dyDescent="0.25">
      <c r="A83" s="197"/>
      <c r="B83" s="395"/>
      <c r="C83" s="886"/>
      <c r="D83" s="1637"/>
      <c r="E83" s="1637"/>
      <c r="F83" s="1637"/>
      <c r="G83" s="1637"/>
      <c r="H83" s="1637"/>
      <c r="I83" s="2085" t="str">
        <f t="shared" si="0"/>
        <v/>
      </c>
      <c r="J83" s="2085"/>
      <c r="K83" s="197"/>
      <c r="L83" s="197"/>
      <c r="M83" s="197"/>
      <c r="N83" s="190"/>
      <c r="O83" s="190"/>
      <c r="P83" s="190"/>
      <c r="Q83" s="190"/>
      <c r="R83" s="190"/>
      <c r="S83" s="190"/>
      <c r="T83" s="190"/>
      <c r="U83" s="190"/>
      <c r="V83" s="190"/>
    </row>
    <row r="84" spans="1:22" ht="15.75" customHeight="1" x14ac:dyDescent="0.25">
      <c r="A84" s="197"/>
      <c r="B84" s="395"/>
      <c r="C84" s="887"/>
      <c r="D84" s="2001"/>
      <c r="E84" s="2001"/>
      <c r="F84" s="2001"/>
      <c r="G84" s="2001"/>
      <c r="H84" s="2001"/>
      <c r="I84" s="2085" t="str">
        <f t="shared" si="0"/>
        <v/>
      </c>
      <c r="J84" s="2085"/>
      <c r="K84" s="197"/>
      <c r="L84" s="197"/>
      <c r="M84" s="197"/>
      <c r="N84" s="190"/>
      <c r="O84" s="190"/>
      <c r="P84" s="190"/>
      <c r="Q84" s="190"/>
      <c r="R84" s="190"/>
      <c r="S84" s="190"/>
      <c r="T84" s="190"/>
      <c r="U84" s="190"/>
      <c r="V84" s="190"/>
    </row>
    <row r="85" spans="1:22" ht="15.75" customHeight="1" x14ac:dyDescent="0.25">
      <c r="A85" s="197"/>
      <c r="B85" s="395"/>
      <c r="C85" s="886"/>
      <c r="D85" s="1637"/>
      <c r="E85" s="1637"/>
      <c r="F85" s="1637"/>
      <c r="G85" s="1637"/>
      <c r="H85" s="1637"/>
      <c r="I85" s="2085" t="str">
        <f t="shared" si="0"/>
        <v/>
      </c>
      <c r="J85" s="2085"/>
      <c r="K85" s="197"/>
      <c r="L85" s="197"/>
      <c r="M85" s="197"/>
      <c r="N85" s="190"/>
      <c r="O85" s="190"/>
      <c r="P85" s="190"/>
      <c r="Q85" s="190"/>
      <c r="R85" s="190"/>
      <c r="S85" s="190"/>
      <c r="T85" s="190"/>
      <c r="U85" s="190"/>
      <c r="V85" s="190"/>
    </row>
    <row r="86" spans="1:22" ht="15.75" customHeight="1" x14ac:dyDescent="0.25">
      <c r="A86" s="197"/>
      <c r="B86" s="395"/>
      <c r="C86" s="886"/>
      <c r="D86" s="1637"/>
      <c r="E86" s="1637"/>
      <c r="F86" s="1637"/>
      <c r="G86" s="1637"/>
      <c r="H86" s="1637"/>
      <c r="I86" s="2085" t="str">
        <f t="shared" si="0"/>
        <v/>
      </c>
      <c r="J86" s="2085"/>
      <c r="K86" s="197"/>
      <c r="L86" s="197"/>
      <c r="M86" s="197"/>
      <c r="N86" s="190"/>
      <c r="O86" s="190"/>
      <c r="P86" s="190"/>
      <c r="Q86" s="190"/>
      <c r="R86" s="190"/>
      <c r="S86" s="190"/>
      <c r="T86" s="190"/>
      <c r="U86" s="190"/>
      <c r="V86" s="190"/>
    </row>
    <row r="87" spans="1:22" x14ac:dyDescent="0.25">
      <c r="A87" s="197"/>
      <c r="B87" s="197"/>
      <c r="C87" s="197"/>
      <c r="D87" s="197"/>
      <c r="E87" s="197"/>
      <c r="F87" s="197"/>
      <c r="G87" s="197"/>
      <c r="H87" s="197"/>
      <c r="I87" s="197"/>
      <c r="J87" s="197"/>
      <c r="K87" s="197"/>
      <c r="L87" s="190"/>
      <c r="M87" s="190"/>
      <c r="N87" s="190"/>
      <c r="O87" s="190"/>
      <c r="P87" s="190"/>
      <c r="Q87" s="190"/>
      <c r="R87" s="190"/>
      <c r="S87" s="190"/>
      <c r="T87" s="190"/>
    </row>
    <row r="88" spans="1:22" ht="19.5" customHeight="1" x14ac:dyDescent="0.25">
      <c r="A88" s="197"/>
      <c r="B88" s="2039" t="s">
        <v>2093</v>
      </c>
      <c r="C88" s="2039"/>
      <c r="D88" s="2039"/>
      <c r="E88" s="282">
        <f ca="1">SUMIF(I72:J86,"Yes",C72:C86)</f>
        <v>0</v>
      </c>
      <c r="F88" s="197"/>
      <c r="G88" s="197"/>
      <c r="H88" s="197"/>
      <c r="I88" s="197"/>
      <c r="J88" s="197"/>
      <c r="K88" s="197"/>
      <c r="L88" s="190"/>
      <c r="M88" s="190"/>
      <c r="N88" s="190"/>
      <c r="O88" s="190"/>
      <c r="P88" s="190"/>
      <c r="Q88" s="190"/>
      <c r="R88" s="190"/>
      <c r="S88" s="190"/>
      <c r="T88" s="190"/>
    </row>
    <row r="89" spans="1:22" ht="19.5" customHeight="1" x14ac:dyDescent="0.25">
      <c r="A89" s="197"/>
      <c r="B89" s="2090" t="s">
        <v>2094</v>
      </c>
      <c r="C89" s="2091"/>
      <c r="D89" s="2092"/>
      <c r="E89" s="79">
        <f ca="1">IFERROR(SUMIF(I72:J86,"Yes",C72:C86)/SUM(C72:C86),0)</f>
        <v>0</v>
      </c>
      <c r="F89" s="197"/>
      <c r="G89" s="197"/>
      <c r="H89" s="197"/>
      <c r="I89" s="197"/>
      <c r="J89" s="197"/>
      <c r="K89" s="197"/>
      <c r="L89" s="190"/>
      <c r="M89" s="190"/>
      <c r="N89" s="190"/>
      <c r="O89" s="190"/>
      <c r="P89" s="190"/>
      <c r="Q89" s="190"/>
      <c r="R89" s="190"/>
      <c r="S89" s="190"/>
      <c r="T89" s="190"/>
    </row>
    <row r="90" spans="1:22" ht="20.25" customHeight="1" x14ac:dyDescent="0.25">
      <c r="A90" s="197"/>
      <c r="B90" s="197"/>
      <c r="C90" s="197"/>
      <c r="D90" s="197"/>
      <c r="E90" s="197"/>
      <c r="F90" s="197"/>
      <c r="G90" s="197"/>
      <c r="H90" s="197"/>
      <c r="I90" s="197"/>
      <c r="J90" s="197"/>
      <c r="K90" s="197"/>
      <c r="L90" s="190"/>
      <c r="M90" s="190"/>
      <c r="N90" s="190"/>
      <c r="O90" s="190"/>
      <c r="P90" s="190"/>
      <c r="Q90" s="190"/>
      <c r="R90" s="190"/>
      <c r="S90" s="190"/>
      <c r="T90" s="190"/>
    </row>
    <row r="91" spans="1:22" ht="16.5" customHeight="1" x14ac:dyDescent="0.25">
      <c r="A91" s="2068" t="s">
        <v>186</v>
      </c>
      <c r="B91" s="2068"/>
      <c r="C91" s="2068"/>
      <c r="D91" s="197"/>
      <c r="E91" s="197"/>
      <c r="F91" s="197"/>
      <c r="G91" s="197"/>
      <c r="H91" s="197"/>
      <c r="I91" s="197"/>
      <c r="J91" s="197"/>
      <c r="K91" s="197"/>
      <c r="L91" s="190"/>
      <c r="M91" s="190"/>
      <c r="N91" s="190"/>
      <c r="O91" s="190"/>
      <c r="P91" s="190"/>
      <c r="Q91" s="190"/>
      <c r="R91" s="190"/>
      <c r="S91" s="190"/>
      <c r="T91" s="190"/>
    </row>
    <row r="92" spans="1:22" x14ac:dyDescent="0.25">
      <c r="A92" s="197"/>
      <c r="B92" s="197"/>
      <c r="C92" s="197"/>
      <c r="D92" s="197"/>
      <c r="E92" s="197"/>
      <c r="F92" s="197"/>
      <c r="G92" s="197"/>
      <c r="H92" s="197"/>
      <c r="I92" s="197"/>
      <c r="J92" s="197"/>
      <c r="K92" s="197"/>
      <c r="L92" s="190"/>
      <c r="M92" s="190"/>
      <c r="N92" s="190"/>
      <c r="O92" s="190"/>
      <c r="P92" s="190"/>
      <c r="Q92" s="190"/>
      <c r="R92" s="190"/>
      <c r="S92" s="190"/>
      <c r="T92" s="190"/>
    </row>
    <row r="93" spans="1:22" ht="18" customHeight="1" x14ac:dyDescent="0.25">
      <c r="A93" s="197"/>
      <c r="B93" s="2119" t="s">
        <v>1739</v>
      </c>
      <c r="C93" s="2119"/>
      <c r="D93" s="2119"/>
      <c r="E93" s="2119"/>
      <c r="F93" s="2119"/>
      <c r="G93" s="2119"/>
      <c r="H93" s="2119"/>
      <c r="I93" s="2119"/>
      <c r="J93" s="2035"/>
      <c r="K93" s="2031" t="s">
        <v>1737</v>
      </c>
      <c r="L93" s="2117"/>
      <c r="M93" s="2031" t="s">
        <v>1738</v>
      </c>
      <c r="N93" s="2118"/>
      <c r="O93" s="2118"/>
      <c r="P93" s="2118"/>
      <c r="Q93" s="190"/>
      <c r="R93" s="190"/>
      <c r="S93" s="190"/>
      <c r="T93" s="190"/>
    </row>
    <row r="94" spans="1:22" ht="24" customHeight="1" x14ac:dyDescent="0.25">
      <c r="A94" s="197"/>
      <c r="B94" s="1965" t="s">
        <v>2098</v>
      </c>
      <c r="C94" s="1966"/>
      <c r="D94" s="1966"/>
      <c r="E94" s="1966"/>
      <c r="F94" s="1966"/>
      <c r="G94" s="1966"/>
      <c r="H94" s="1966"/>
      <c r="I94" s="1966"/>
      <c r="J94" s="1967"/>
      <c r="K94" s="2001" t="s">
        <v>124</v>
      </c>
      <c r="L94" s="2001"/>
      <c r="M94" s="1931"/>
      <c r="N94" s="1932"/>
      <c r="O94" s="1932"/>
      <c r="P94" s="1932"/>
      <c r="Q94" s="190"/>
      <c r="R94" s="190"/>
      <c r="S94" s="190"/>
      <c r="T94" s="190"/>
    </row>
    <row r="95" spans="1:22" ht="18" customHeight="1" x14ac:dyDescent="0.25">
      <c r="A95" s="197"/>
      <c r="B95" s="197"/>
      <c r="C95" s="197"/>
      <c r="D95" s="197"/>
      <c r="E95" s="197"/>
      <c r="F95" s="197"/>
      <c r="G95" s="197"/>
      <c r="H95" s="197"/>
      <c r="I95" s="197"/>
      <c r="J95" s="197"/>
      <c r="K95" s="197"/>
      <c r="L95" s="190"/>
      <c r="M95" s="190"/>
      <c r="N95" s="190"/>
      <c r="O95" s="190"/>
      <c r="P95" s="190"/>
      <c r="Q95" s="190"/>
      <c r="R95" s="190"/>
      <c r="S95" s="190"/>
      <c r="T95" s="190"/>
    </row>
    <row r="96" spans="1:22" ht="16.5" customHeight="1" x14ac:dyDescent="0.25">
      <c r="A96" s="2068" t="s">
        <v>22</v>
      </c>
      <c r="B96" s="2068"/>
      <c r="C96" s="2068"/>
      <c r="D96" s="197"/>
      <c r="E96" s="197"/>
      <c r="F96" s="197"/>
      <c r="G96" s="197"/>
      <c r="H96" s="197"/>
      <c r="I96" s="197"/>
      <c r="J96" s="197"/>
      <c r="K96" s="197"/>
      <c r="L96" s="190"/>
      <c r="M96" s="190"/>
      <c r="N96" s="190"/>
      <c r="O96" s="190"/>
      <c r="P96" s="190"/>
      <c r="Q96" s="190"/>
      <c r="R96" s="190"/>
      <c r="S96" s="190"/>
      <c r="T96" s="190"/>
    </row>
    <row r="97" spans="1:20" x14ac:dyDescent="0.25">
      <c r="A97" s="197"/>
      <c r="B97" s="197"/>
      <c r="C97" s="197"/>
      <c r="D97" s="197"/>
      <c r="E97" s="197"/>
      <c r="F97" s="197"/>
      <c r="G97" s="197"/>
      <c r="H97" s="197"/>
      <c r="I97" s="197"/>
      <c r="J97" s="197"/>
      <c r="K97" s="197"/>
      <c r="L97" s="190"/>
      <c r="M97" s="190"/>
      <c r="N97" s="190"/>
      <c r="O97" s="190"/>
      <c r="P97" s="190"/>
      <c r="Q97" s="190"/>
      <c r="R97" s="190"/>
      <c r="S97" s="190"/>
      <c r="T97" s="190"/>
    </row>
    <row r="98" spans="1:20" ht="18" customHeight="1" x14ac:dyDescent="0.25">
      <c r="A98" s="197"/>
      <c r="B98" s="243" t="s">
        <v>53</v>
      </c>
      <c r="C98" s="2109">
        <f ca="1">IF(E89="",0,IF(E89&gt;=0.9,3,IF(E89&gt;=0.7,2,IF(E89&gt;=0.5,1,0))))</f>
        <v>0</v>
      </c>
      <c r="D98" s="2109"/>
      <c r="E98" s="197"/>
      <c r="F98" s="197"/>
      <c r="G98" s="197"/>
      <c r="H98" s="197"/>
      <c r="I98" s="197"/>
      <c r="J98" s="197"/>
      <c r="K98" s="197"/>
      <c r="L98" s="190"/>
      <c r="M98" s="190"/>
      <c r="N98" s="190"/>
      <c r="O98" s="190"/>
      <c r="P98" s="190"/>
      <c r="Q98" s="190"/>
      <c r="R98" s="190"/>
      <c r="S98" s="190"/>
      <c r="T98" s="190"/>
    </row>
    <row r="99" spans="1:20" ht="18" customHeight="1" x14ac:dyDescent="0.25">
      <c r="A99" s="197"/>
      <c r="B99" s="244" t="s">
        <v>492</v>
      </c>
      <c r="C99" s="2109" t="str">
        <f ca="1">IF(AND(K94="Submitted",C98&gt;0),"Yes","No")</f>
        <v>No</v>
      </c>
      <c r="D99" s="2109"/>
      <c r="E99" s="197"/>
      <c r="F99" s="197"/>
      <c r="G99" s="197"/>
      <c r="H99" s="197"/>
      <c r="I99" s="197"/>
      <c r="J99" s="197"/>
      <c r="K99" s="197"/>
      <c r="L99" s="190"/>
      <c r="M99" s="190"/>
      <c r="N99" s="190"/>
      <c r="O99" s="190"/>
      <c r="P99" s="190"/>
      <c r="Q99" s="190"/>
      <c r="R99" s="190"/>
      <c r="S99" s="190"/>
      <c r="T99" s="190"/>
    </row>
    <row r="100" spans="1:20" ht="21" customHeight="1" x14ac:dyDescent="0.25">
      <c r="A100" s="197"/>
      <c r="B100" s="197"/>
      <c r="C100" s="197"/>
      <c r="D100" s="197"/>
      <c r="E100" s="197"/>
      <c r="F100" s="197"/>
      <c r="G100" s="197"/>
      <c r="H100" s="197"/>
      <c r="I100" s="197"/>
      <c r="J100" s="197"/>
      <c r="K100" s="197"/>
      <c r="L100" s="190"/>
      <c r="M100" s="190"/>
      <c r="N100" s="190"/>
      <c r="O100" s="190"/>
      <c r="P100" s="190"/>
      <c r="Q100" s="190"/>
      <c r="R100" s="190"/>
      <c r="S100" s="190"/>
      <c r="T100" s="190"/>
    </row>
    <row r="101" spans="1:20" ht="18" customHeight="1" x14ac:dyDescent="0.25">
      <c r="A101" s="2016" t="s">
        <v>15</v>
      </c>
      <c r="B101" s="2016"/>
      <c r="C101" s="2016"/>
      <c r="D101" s="2016"/>
      <c r="E101" s="2016"/>
      <c r="F101" s="2016"/>
      <c r="G101" s="2016"/>
      <c r="H101" s="2016"/>
      <c r="I101" s="2016"/>
      <c r="J101" s="2016"/>
      <c r="K101" s="2016"/>
      <c r="L101" s="2016"/>
      <c r="M101" s="2016"/>
      <c r="N101" s="2016"/>
      <c r="O101" s="2016"/>
      <c r="P101" s="2016"/>
      <c r="Q101" s="2016"/>
      <c r="R101" s="2016"/>
      <c r="S101" s="52"/>
      <c r="T101" s="52"/>
    </row>
    <row r="102" spans="1:20" x14ac:dyDescent="0.25">
      <c r="A102" s="191"/>
      <c r="B102" s="200"/>
      <c r="C102" s="200"/>
      <c r="D102" s="200"/>
      <c r="E102" s="200"/>
      <c r="F102" s="191"/>
      <c r="G102" s="191"/>
      <c r="H102" s="191"/>
      <c r="I102" s="191"/>
      <c r="J102" s="191"/>
      <c r="K102" s="191"/>
      <c r="L102" s="191"/>
      <c r="M102" s="191"/>
      <c r="N102" s="191"/>
      <c r="O102" s="191"/>
      <c r="P102" s="191"/>
      <c r="Q102" s="191"/>
      <c r="R102" s="191"/>
      <c r="S102" s="191"/>
      <c r="T102" s="191"/>
    </row>
    <row r="103" spans="1:20" x14ac:dyDescent="0.25">
      <c r="A103" s="191"/>
      <c r="B103" s="753" t="s">
        <v>2095</v>
      </c>
      <c r="C103" s="200"/>
      <c r="D103" s="200"/>
      <c r="E103" s="200"/>
      <c r="F103" s="191"/>
      <c r="G103" s="191"/>
      <c r="H103" s="191"/>
      <c r="I103" s="191"/>
      <c r="J103" s="191"/>
      <c r="K103" s="191"/>
      <c r="L103" s="191"/>
      <c r="M103" s="191"/>
      <c r="N103" s="191"/>
      <c r="O103" s="191"/>
      <c r="P103" s="191"/>
      <c r="Q103" s="191"/>
      <c r="R103" s="191"/>
      <c r="S103" s="191"/>
      <c r="T103" s="191"/>
    </row>
    <row r="104" spans="1:20" ht="18.75" customHeight="1" x14ac:dyDescent="0.25">
      <c r="A104" s="191"/>
      <c r="B104" s="200"/>
      <c r="C104" s="200"/>
      <c r="D104" s="200"/>
      <c r="E104" s="200"/>
      <c r="F104" s="191"/>
      <c r="G104" s="191"/>
      <c r="H104" s="191"/>
      <c r="I104" s="191"/>
      <c r="J104" s="191"/>
      <c r="K104" s="191"/>
      <c r="L104" s="191"/>
      <c r="M104" s="191"/>
      <c r="N104" s="191"/>
      <c r="O104" s="191"/>
      <c r="P104" s="191"/>
      <c r="Q104" s="191"/>
      <c r="R104" s="191"/>
      <c r="S104" s="191"/>
      <c r="T104" s="191"/>
    </row>
    <row r="105" spans="1:20" ht="15" customHeight="1" x14ac:dyDescent="0.25">
      <c r="A105" s="191"/>
      <c r="B105" s="2093" t="s">
        <v>1354</v>
      </c>
      <c r="C105" s="2093"/>
      <c r="D105" s="2093"/>
      <c r="E105" s="2093"/>
      <c r="F105" s="2093"/>
      <c r="G105" s="2093"/>
      <c r="H105" s="2093"/>
      <c r="I105" s="2093"/>
      <c r="J105" s="2093"/>
      <c r="K105" s="2093"/>
      <c r="L105" s="2093"/>
      <c r="M105" s="761"/>
      <c r="N105" s="761"/>
      <c r="O105" s="191"/>
      <c r="P105" s="191"/>
      <c r="Q105" s="191"/>
      <c r="R105" s="191"/>
      <c r="S105" s="191"/>
      <c r="T105" s="191"/>
    </row>
    <row r="106" spans="1:20" x14ac:dyDescent="0.25">
      <c r="A106" s="191"/>
      <c r="B106" s="2093"/>
      <c r="C106" s="2093"/>
      <c r="D106" s="2093"/>
      <c r="E106" s="2093"/>
      <c r="F106" s="2093"/>
      <c r="G106" s="2093"/>
      <c r="H106" s="2093"/>
      <c r="I106" s="2093"/>
      <c r="J106" s="2093"/>
      <c r="K106" s="2093"/>
      <c r="L106" s="2093"/>
      <c r="M106" s="761"/>
      <c r="N106" s="761"/>
      <c r="O106" s="191"/>
      <c r="P106" s="191"/>
      <c r="Q106" s="191"/>
      <c r="R106" s="191"/>
      <c r="S106" s="191"/>
      <c r="T106" s="191"/>
    </row>
    <row r="107" spans="1:20" ht="13.5" customHeight="1" x14ac:dyDescent="0.25">
      <c r="A107" s="191"/>
      <c r="B107" s="761"/>
      <c r="C107" s="761"/>
      <c r="D107" s="761"/>
      <c r="E107" s="761"/>
      <c r="F107" s="761"/>
      <c r="G107" s="761"/>
      <c r="H107" s="761"/>
      <c r="I107" s="761"/>
      <c r="J107" s="761"/>
      <c r="K107" s="761"/>
      <c r="L107" s="761"/>
      <c r="M107" s="761"/>
      <c r="N107" s="761"/>
      <c r="O107" s="191"/>
      <c r="P107" s="191"/>
      <c r="Q107" s="191"/>
      <c r="R107" s="191"/>
      <c r="S107" s="191"/>
      <c r="T107" s="191"/>
    </row>
    <row r="108" spans="1:20" ht="16.5" customHeight="1" x14ac:dyDescent="0.25">
      <c r="A108" s="2068" t="s">
        <v>23</v>
      </c>
      <c r="B108" s="2068"/>
      <c r="C108" s="2068"/>
      <c r="D108" s="200"/>
      <c r="E108" s="200"/>
      <c r="F108" s="200"/>
      <c r="G108" s="200"/>
      <c r="H108" s="200"/>
      <c r="I108" s="200"/>
      <c r="J108" s="200"/>
      <c r="K108" s="200"/>
      <c r="L108" s="200"/>
      <c r="M108" s="200"/>
      <c r="N108" s="200"/>
      <c r="O108" s="200"/>
      <c r="P108" s="200"/>
      <c r="Q108" s="200"/>
      <c r="R108" s="200"/>
      <c r="S108" s="200"/>
      <c r="T108" s="200"/>
    </row>
    <row r="109" spans="1:20" ht="12.75" customHeight="1" x14ac:dyDescent="0.25">
      <c r="A109" s="200"/>
      <c r="B109" s="200"/>
      <c r="C109" s="200"/>
      <c r="D109" s="200"/>
      <c r="E109" s="200"/>
      <c r="F109" s="200"/>
      <c r="G109" s="200"/>
      <c r="H109" s="200"/>
      <c r="I109" s="200"/>
      <c r="J109" s="200"/>
      <c r="K109" s="200"/>
      <c r="L109" s="200"/>
      <c r="M109" s="200"/>
      <c r="N109" s="200"/>
      <c r="O109" s="200"/>
      <c r="P109" s="200"/>
      <c r="Q109" s="200"/>
      <c r="R109" s="200"/>
      <c r="S109" s="200"/>
      <c r="T109" s="200"/>
    </row>
    <row r="110" spans="1:20" x14ac:dyDescent="0.25">
      <c r="A110" s="200"/>
      <c r="B110" s="591" t="s">
        <v>1875</v>
      </c>
      <c r="C110" s="200"/>
      <c r="D110" s="200"/>
      <c r="E110" s="200"/>
      <c r="F110" s="200"/>
      <c r="G110" s="200"/>
      <c r="H110" s="200"/>
      <c r="I110" s="200"/>
      <c r="J110" s="200"/>
      <c r="K110" s="200"/>
      <c r="L110" s="200"/>
      <c r="M110" s="200"/>
      <c r="N110" s="200"/>
      <c r="O110" s="200"/>
      <c r="P110" s="200"/>
      <c r="Q110" s="200"/>
      <c r="R110" s="200"/>
      <c r="S110" s="200"/>
      <c r="T110" s="200"/>
    </row>
    <row r="111" spans="1:20" ht="12.75" customHeight="1" x14ac:dyDescent="0.25">
      <c r="A111" s="200"/>
      <c r="B111" s="200"/>
      <c r="C111" s="200"/>
      <c r="D111" s="200"/>
      <c r="E111" s="200"/>
      <c r="F111" s="200"/>
      <c r="G111" s="200"/>
      <c r="H111" s="200"/>
      <c r="I111" s="200"/>
      <c r="J111" s="200"/>
      <c r="K111" s="200"/>
      <c r="L111" s="200"/>
      <c r="M111" s="200"/>
      <c r="N111" s="200"/>
      <c r="O111" s="200"/>
      <c r="P111" s="200"/>
      <c r="Q111" s="200"/>
      <c r="R111" s="200"/>
      <c r="S111" s="200"/>
      <c r="T111" s="200"/>
    </row>
    <row r="112" spans="1:20" x14ac:dyDescent="0.25">
      <c r="A112" s="200"/>
      <c r="B112" s="191" t="s">
        <v>1359</v>
      </c>
      <c r="C112" s="191"/>
      <c r="D112" s="191"/>
      <c r="E112" s="191"/>
      <c r="F112" s="191"/>
      <c r="G112" s="191"/>
      <c r="H112" s="191"/>
      <c r="I112" s="191"/>
      <c r="J112" s="200"/>
      <c r="K112" s="200"/>
      <c r="L112" s="200"/>
      <c r="M112" s="200"/>
      <c r="N112" s="200"/>
      <c r="O112" s="200"/>
      <c r="P112" s="200"/>
      <c r="Q112" s="200"/>
      <c r="R112" s="200"/>
      <c r="S112" s="200"/>
      <c r="T112" s="200"/>
    </row>
    <row r="113" spans="1:22" ht="16.5" customHeight="1" x14ac:dyDescent="0.25">
      <c r="A113" s="200"/>
      <c r="B113" s="2041" t="s">
        <v>1360</v>
      </c>
      <c r="C113" s="2042"/>
      <c r="D113" s="2042"/>
      <c r="E113" s="2113" t="s">
        <v>124</v>
      </c>
      <c r="F113" s="2114"/>
      <c r="G113" s="2115"/>
      <c r="H113" s="758"/>
      <c r="I113" s="191"/>
      <c r="J113" s="200"/>
      <c r="K113" s="200"/>
      <c r="L113" s="200"/>
      <c r="M113" s="200"/>
      <c r="N113" s="200"/>
      <c r="O113" s="200"/>
      <c r="P113" s="200"/>
      <c r="Q113" s="200"/>
      <c r="R113" s="200"/>
      <c r="S113" s="200"/>
      <c r="T113" s="200"/>
    </row>
    <row r="114" spans="1:22" ht="12.75" customHeight="1" x14ac:dyDescent="0.25">
      <c r="A114" s="200"/>
      <c r="B114" s="200"/>
      <c r="C114" s="200"/>
      <c r="D114" s="200"/>
      <c r="E114" s="200"/>
      <c r="F114" s="200"/>
      <c r="G114" s="200"/>
      <c r="H114" s="200"/>
      <c r="I114" s="200"/>
      <c r="J114" s="200"/>
      <c r="K114" s="200"/>
      <c r="L114" s="200"/>
      <c r="M114" s="200"/>
      <c r="N114" s="200"/>
      <c r="O114" s="200"/>
      <c r="P114" s="200"/>
      <c r="Q114" s="200"/>
      <c r="R114" s="200"/>
      <c r="S114" s="200"/>
      <c r="T114" s="200"/>
    </row>
    <row r="115" spans="1:22" ht="15" customHeight="1" x14ac:dyDescent="0.25">
      <c r="A115" s="200"/>
      <c r="B115" s="2110" t="s">
        <v>2092</v>
      </c>
      <c r="C115" s="2088" t="s">
        <v>594</v>
      </c>
      <c r="D115" s="2088" t="s">
        <v>603</v>
      </c>
      <c r="E115" s="2088" t="s">
        <v>604</v>
      </c>
      <c r="F115" s="2108" t="s">
        <v>602</v>
      </c>
      <c r="G115" s="2108"/>
      <c r="H115" s="2108"/>
      <c r="I115" s="2088" t="s">
        <v>595</v>
      </c>
      <c r="J115" s="2088" t="s">
        <v>1361</v>
      </c>
      <c r="K115" s="2108" t="s">
        <v>596</v>
      </c>
      <c r="L115" s="2108"/>
      <c r="M115" s="2108"/>
      <c r="N115" s="2088" t="s">
        <v>1364</v>
      </c>
      <c r="O115" s="2088"/>
      <c r="P115" s="2088" t="s">
        <v>1363</v>
      </c>
      <c r="Q115" s="2106" t="s">
        <v>172</v>
      </c>
      <c r="R115" s="200"/>
      <c r="S115" s="200"/>
      <c r="T115" s="200"/>
      <c r="U115" s="2104" t="s">
        <v>605</v>
      </c>
      <c r="V115" s="2104" t="s">
        <v>606</v>
      </c>
    </row>
    <row r="116" spans="1:22" x14ac:dyDescent="0.25">
      <c r="A116" s="200"/>
      <c r="B116" s="2111"/>
      <c r="C116" s="2112"/>
      <c r="D116" s="2089"/>
      <c r="E116" s="2089"/>
      <c r="F116" s="383" t="s">
        <v>607</v>
      </c>
      <c r="G116" s="383" t="s">
        <v>597</v>
      </c>
      <c r="H116" s="383" t="s">
        <v>598</v>
      </c>
      <c r="I116" s="2089"/>
      <c r="J116" s="2089"/>
      <c r="K116" s="383" t="s">
        <v>599</v>
      </c>
      <c r="L116" s="383" t="s">
        <v>600</v>
      </c>
      <c r="M116" s="383" t="s">
        <v>601</v>
      </c>
      <c r="N116" s="2089"/>
      <c r="O116" s="2089"/>
      <c r="P116" s="2089"/>
      <c r="Q116" s="2107"/>
      <c r="R116" s="200"/>
      <c r="S116" s="200"/>
      <c r="T116" s="200"/>
      <c r="U116" s="2105"/>
      <c r="V116" s="2105"/>
    </row>
    <row r="117" spans="1:22" ht="16.5" customHeight="1" x14ac:dyDescent="0.25">
      <c r="A117" s="200"/>
      <c r="B117" s="382"/>
      <c r="C117" s="382"/>
      <c r="D117" s="382"/>
      <c r="E117" s="382"/>
      <c r="F117" s="382"/>
      <c r="G117" s="382"/>
      <c r="H117" s="382"/>
      <c r="I117" s="382"/>
      <c r="J117" s="382"/>
      <c r="K117" s="382"/>
      <c r="L117" s="382"/>
      <c r="M117" s="382"/>
      <c r="N117" s="2081"/>
      <c r="O117" s="2082"/>
      <c r="P117" s="888">
        <f>IF($E$113="Spreadsheet Calculations",IFERROR((D117*(PI()/180)*MOD(E117,180)*I117*J117)/(U117*(1-V117^2)),""),N117)</f>
        <v>0</v>
      </c>
      <c r="Q117" s="759" t="str">
        <f>IF($E$113="Spreadsheet Calculations",IF(P117="","",IF(P117&gt;=0.01,"Yes","No")),IF(N117="","",IF(N117&gt;=0.01,"Yes","No")))</f>
        <v/>
      </c>
      <c r="R117" s="200"/>
      <c r="S117" s="200"/>
      <c r="T117" s="200"/>
      <c r="U117" s="38">
        <f>(F117*G117)*2+(G117*H117)*2+(F117*H117)*2</f>
        <v>0</v>
      </c>
      <c r="V117" s="38" t="e">
        <f>(K117*(F117*G117)+L117*(F117+G117)*2*H117+M117*(F117*G117))/U117</f>
        <v>#DIV/0!</v>
      </c>
    </row>
    <row r="118" spans="1:22" ht="16.5" customHeight="1" x14ac:dyDescent="0.25">
      <c r="A118" s="200"/>
      <c r="B118" s="167"/>
      <c r="C118" s="382"/>
      <c r="D118" s="382"/>
      <c r="E118" s="382"/>
      <c r="F118" s="382"/>
      <c r="G118" s="382"/>
      <c r="H118" s="382"/>
      <c r="I118" s="382"/>
      <c r="J118" s="382"/>
      <c r="K118" s="382"/>
      <c r="L118" s="382"/>
      <c r="M118" s="382"/>
      <c r="N118" s="2081"/>
      <c r="O118" s="2082"/>
      <c r="P118" s="888">
        <f t="shared" ref="P118:P131" si="1">IF($E$113="Spreadsheet Calculations",IFERROR((D118*(PI()/180)*MOD(E118,180)*I118*J118)/(U118*(1-V118^2)),""),N118)</f>
        <v>0</v>
      </c>
      <c r="Q118" s="759" t="str">
        <f t="shared" ref="Q118:Q131" si="2">IF($E$113="Spreadsheet Calculations",IF(P118="","",IF(P118&gt;=0.01,"Yes","No")),IF(N118="","",IF(N118&gt;=0.01,"Yes","No")))</f>
        <v/>
      </c>
      <c r="R118" s="200"/>
      <c r="S118" s="200"/>
      <c r="T118" s="200"/>
      <c r="U118" s="38">
        <f t="shared" ref="U118:U131" si="3">(F118*G118)*2+(G118*H118)*2+(F118*H118)*2</f>
        <v>0</v>
      </c>
      <c r="V118" s="38" t="e">
        <f t="shared" ref="V118:V131" si="4">(K118*(F118*G118)+L118*(F118+G118)*2*H118+M118*(F118*G118))/U118</f>
        <v>#DIV/0!</v>
      </c>
    </row>
    <row r="119" spans="1:22" ht="16.5" customHeight="1" x14ac:dyDescent="0.25">
      <c r="A119" s="200"/>
      <c r="B119" s="167"/>
      <c r="C119" s="382"/>
      <c r="D119" s="382"/>
      <c r="E119" s="382"/>
      <c r="F119" s="382"/>
      <c r="G119" s="382"/>
      <c r="H119" s="382"/>
      <c r="I119" s="382"/>
      <c r="J119" s="382"/>
      <c r="K119" s="382"/>
      <c r="L119" s="382"/>
      <c r="M119" s="382"/>
      <c r="N119" s="2081"/>
      <c r="O119" s="2082"/>
      <c r="P119" s="888">
        <f t="shared" si="1"/>
        <v>0</v>
      </c>
      <c r="Q119" s="759" t="str">
        <f t="shared" si="2"/>
        <v/>
      </c>
      <c r="R119" s="200"/>
      <c r="S119" s="200"/>
      <c r="T119" s="200"/>
      <c r="U119" s="38">
        <f t="shared" si="3"/>
        <v>0</v>
      </c>
      <c r="V119" s="38" t="e">
        <f t="shared" si="4"/>
        <v>#DIV/0!</v>
      </c>
    </row>
    <row r="120" spans="1:22" ht="16.5" customHeight="1" x14ac:dyDescent="0.25">
      <c r="A120" s="200"/>
      <c r="B120" s="167"/>
      <c r="C120" s="382"/>
      <c r="D120" s="382"/>
      <c r="E120" s="382"/>
      <c r="F120" s="382"/>
      <c r="G120" s="382"/>
      <c r="H120" s="382"/>
      <c r="I120" s="382"/>
      <c r="J120" s="382"/>
      <c r="K120" s="382"/>
      <c r="L120" s="382"/>
      <c r="M120" s="382"/>
      <c r="N120" s="2081"/>
      <c r="O120" s="2082"/>
      <c r="P120" s="888">
        <f t="shared" si="1"/>
        <v>0</v>
      </c>
      <c r="Q120" s="759" t="str">
        <f t="shared" si="2"/>
        <v/>
      </c>
      <c r="R120" s="200"/>
      <c r="S120" s="200"/>
      <c r="T120" s="200"/>
      <c r="U120" s="38">
        <f t="shared" si="3"/>
        <v>0</v>
      </c>
      <c r="V120" s="38" t="e">
        <f t="shared" si="4"/>
        <v>#DIV/0!</v>
      </c>
    </row>
    <row r="121" spans="1:22" ht="16.5" customHeight="1" x14ac:dyDescent="0.25">
      <c r="A121" s="200"/>
      <c r="B121" s="1279"/>
      <c r="C121" s="1279"/>
      <c r="D121" s="1279"/>
      <c r="E121" s="1279"/>
      <c r="F121" s="1279"/>
      <c r="G121" s="1279"/>
      <c r="H121" s="1279"/>
      <c r="I121" s="1279"/>
      <c r="J121" s="1279"/>
      <c r="K121" s="1279"/>
      <c r="L121" s="1279"/>
      <c r="M121" s="1279"/>
      <c r="N121" s="2081"/>
      <c r="O121" s="2082"/>
      <c r="P121" s="888">
        <f>IF($E$113="Spreadsheet Calculations",IFERROR((D121*(PI()/180)*MOD(E121,180)*I121*J121)/(U121*(1-V121^2)),""),N121)</f>
        <v>0</v>
      </c>
      <c r="Q121" s="759" t="str">
        <f>IF($E$113="Spreadsheet Calculations",IF(P121="","",IF(P121&gt;=0.01,"Yes","No")),IF(N121="","",IF(N121&gt;=0.01,"Yes","No")))</f>
        <v/>
      </c>
      <c r="R121" s="200"/>
      <c r="S121" s="200"/>
      <c r="T121" s="200"/>
    </row>
    <row r="122" spans="1:22" ht="16.5" customHeight="1" x14ac:dyDescent="0.25">
      <c r="A122" s="200"/>
      <c r="B122" s="1278"/>
      <c r="C122" s="1279"/>
      <c r="D122" s="1279"/>
      <c r="E122" s="1279"/>
      <c r="F122" s="1279"/>
      <c r="G122" s="1279"/>
      <c r="H122" s="1279"/>
      <c r="I122" s="1279"/>
      <c r="J122" s="1279"/>
      <c r="K122" s="1279"/>
      <c r="L122" s="1279"/>
      <c r="M122" s="1279"/>
      <c r="N122" s="2081"/>
      <c r="O122" s="2082"/>
      <c r="P122" s="888">
        <f t="shared" ref="P122:P124" si="5">IF($E$113="Spreadsheet Calculations",IFERROR((D122*(PI()/180)*MOD(E122,180)*I122*J122)/(U122*(1-V122^2)),""),N122)</f>
        <v>0</v>
      </c>
      <c r="Q122" s="759" t="str">
        <f t="shared" ref="Q122:Q124" si="6">IF($E$113="Spreadsheet Calculations",IF(P122="","",IF(P122&gt;=0.01,"Yes","No")),IF(N122="","",IF(N122&gt;=0.01,"Yes","No")))</f>
        <v/>
      </c>
      <c r="R122" s="200"/>
      <c r="S122" s="200"/>
      <c r="T122" s="200"/>
    </row>
    <row r="123" spans="1:22" ht="16.5" customHeight="1" x14ac:dyDescent="0.25">
      <c r="A123" s="200"/>
      <c r="B123" s="1278"/>
      <c r="C123" s="1279"/>
      <c r="D123" s="1279"/>
      <c r="E123" s="1279"/>
      <c r="F123" s="1279"/>
      <c r="G123" s="1279"/>
      <c r="H123" s="1279"/>
      <c r="I123" s="1279"/>
      <c r="J123" s="1279"/>
      <c r="K123" s="1279"/>
      <c r="L123" s="1279"/>
      <c r="M123" s="1279"/>
      <c r="N123" s="2081"/>
      <c r="O123" s="2082"/>
      <c r="P123" s="888">
        <f t="shared" si="5"/>
        <v>0</v>
      </c>
      <c r="Q123" s="759" t="str">
        <f t="shared" si="6"/>
        <v/>
      </c>
      <c r="R123" s="200"/>
      <c r="S123" s="200"/>
      <c r="T123" s="200"/>
    </row>
    <row r="124" spans="1:22" ht="16.5" customHeight="1" x14ac:dyDescent="0.25">
      <c r="A124" s="200"/>
      <c r="B124" s="1278"/>
      <c r="C124" s="1279"/>
      <c r="D124" s="1279"/>
      <c r="E124" s="1279"/>
      <c r="F124" s="1279"/>
      <c r="G124" s="1279"/>
      <c r="H124" s="1279"/>
      <c r="I124" s="1279"/>
      <c r="J124" s="1279"/>
      <c r="K124" s="1279"/>
      <c r="L124" s="1279"/>
      <c r="M124" s="1279"/>
      <c r="N124" s="2081"/>
      <c r="O124" s="2082"/>
      <c r="P124" s="888">
        <f t="shared" si="5"/>
        <v>0</v>
      </c>
      <c r="Q124" s="759" t="str">
        <f t="shared" si="6"/>
        <v/>
      </c>
      <c r="R124" s="200"/>
      <c r="S124" s="200"/>
      <c r="T124" s="200"/>
    </row>
    <row r="125" spans="1:22" ht="16.5" customHeight="1" x14ac:dyDescent="0.25">
      <c r="A125" s="200"/>
      <c r="B125" s="1278"/>
      <c r="C125" s="1279"/>
      <c r="D125" s="1279"/>
      <c r="E125" s="1279"/>
      <c r="F125" s="1279"/>
      <c r="G125" s="1279"/>
      <c r="H125" s="1279"/>
      <c r="I125" s="1279"/>
      <c r="J125" s="1279"/>
      <c r="K125" s="1279"/>
      <c r="L125" s="1279"/>
      <c r="M125" s="1279"/>
      <c r="N125" s="2081"/>
      <c r="O125" s="2082"/>
      <c r="P125" s="888">
        <f t="shared" ref="P125" si="7">IF($E$113="Spreadsheet Calculations",IFERROR((D125*(PI()/180)*MOD(E125,180)*I125*J125)/(U125*(1-V125^2)),""),N125)</f>
        <v>0</v>
      </c>
      <c r="Q125" s="759" t="str">
        <f t="shared" ref="Q125" si="8">IF($E$113="Spreadsheet Calculations",IF(P125="","",IF(P125&gt;=0.01,"Yes","No")),IF(N125="","",IF(N125&gt;=0.01,"Yes","No")))</f>
        <v/>
      </c>
      <c r="R125" s="200"/>
      <c r="S125" s="200"/>
      <c r="T125" s="200"/>
    </row>
    <row r="126" spans="1:22" ht="16.5" customHeight="1" x14ac:dyDescent="0.25">
      <c r="A126" s="200"/>
      <c r="B126" s="167"/>
      <c r="C126" s="382"/>
      <c r="D126" s="382"/>
      <c r="E126" s="382"/>
      <c r="F126" s="382"/>
      <c r="G126" s="382"/>
      <c r="H126" s="382"/>
      <c r="I126" s="382"/>
      <c r="J126" s="382"/>
      <c r="K126" s="382"/>
      <c r="L126" s="382"/>
      <c r="M126" s="382"/>
      <c r="N126" s="2081"/>
      <c r="O126" s="2082"/>
      <c r="P126" s="888">
        <f t="shared" si="1"/>
        <v>0</v>
      </c>
      <c r="Q126" s="759" t="str">
        <f t="shared" si="2"/>
        <v/>
      </c>
      <c r="R126" s="200"/>
      <c r="S126" s="200"/>
      <c r="T126" s="200"/>
      <c r="U126" s="38">
        <f t="shared" si="3"/>
        <v>0</v>
      </c>
      <c r="V126" s="38" t="e">
        <f t="shared" si="4"/>
        <v>#DIV/0!</v>
      </c>
    </row>
    <row r="127" spans="1:22" ht="16.5" customHeight="1" x14ac:dyDescent="0.25">
      <c r="A127" s="200"/>
      <c r="B127" s="167"/>
      <c r="C127" s="382"/>
      <c r="D127" s="382"/>
      <c r="E127" s="382"/>
      <c r="F127" s="382"/>
      <c r="G127" s="382"/>
      <c r="H127" s="382"/>
      <c r="I127" s="382"/>
      <c r="J127" s="382"/>
      <c r="K127" s="382"/>
      <c r="L127" s="382"/>
      <c r="M127" s="382"/>
      <c r="N127" s="2081"/>
      <c r="O127" s="2082"/>
      <c r="P127" s="888">
        <f t="shared" si="1"/>
        <v>0</v>
      </c>
      <c r="Q127" s="759" t="str">
        <f t="shared" si="2"/>
        <v/>
      </c>
      <c r="R127" s="200"/>
      <c r="S127" s="200"/>
      <c r="T127" s="200"/>
      <c r="U127" s="38">
        <f t="shared" si="3"/>
        <v>0</v>
      </c>
      <c r="V127" s="38" t="e">
        <f t="shared" si="4"/>
        <v>#DIV/0!</v>
      </c>
    </row>
    <row r="128" spans="1:22" ht="16.5" customHeight="1" x14ac:dyDescent="0.25">
      <c r="A128" s="200"/>
      <c r="B128" s="167"/>
      <c r="C128" s="382"/>
      <c r="D128" s="382"/>
      <c r="E128" s="382"/>
      <c r="F128" s="382"/>
      <c r="G128" s="382"/>
      <c r="H128" s="382"/>
      <c r="I128" s="382"/>
      <c r="J128" s="382"/>
      <c r="K128" s="382"/>
      <c r="L128" s="382"/>
      <c r="M128" s="382"/>
      <c r="N128" s="2081"/>
      <c r="O128" s="2082"/>
      <c r="P128" s="888">
        <f t="shared" si="1"/>
        <v>0</v>
      </c>
      <c r="Q128" s="759" t="str">
        <f t="shared" si="2"/>
        <v/>
      </c>
      <c r="R128" s="200"/>
      <c r="S128" s="200"/>
      <c r="T128" s="200"/>
      <c r="U128" s="38">
        <f t="shared" si="3"/>
        <v>0</v>
      </c>
      <c r="V128" s="38" t="e">
        <f t="shared" si="4"/>
        <v>#DIV/0!</v>
      </c>
    </row>
    <row r="129" spans="1:22" ht="16.5" customHeight="1" x14ac:dyDescent="0.25">
      <c r="A129" s="200"/>
      <c r="B129" s="167"/>
      <c r="C129" s="382"/>
      <c r="D129" s="382"/>
      <c r="E129" s="382"/>
      <c r="F129" s="382"/>
      <c r="G129" s="382"/>
      <c r="H129" s="382"/>
      <c r="I129" s="382"/>
      <c r="J129" s="382"/>
      <c r="K129" s="382"/>
      <c r="L129" s="382"/>
      <c r="M129" s="382"/>
      <c r="N129" s="2081"/>
      <c r="O129" s="2082"/>
      <c r="P129" s="888">
        <f t="shared" si="1"/>
        <v>0</v>
      </c>
      <c r="Q129" s="759" t="str">
        <f t="shared" si="2"/>
        <v/>
      </c>
      <c r="R129" s="200"/>
      <c r="S129" s="200"/>
      <c r="T129" s="200"/>
      <c r="U129" s="38">
        <f t="shared" si="3"/>
        <v>0</v>
      </c>
      <c r="V129" s="38" t="e">
        <f t="shared" si="4"/>
        <v>#DIV/0!</v>
      </c>
    </row>
    <row r="130" spans="1:22" ht="16.5" customHeight="1" x14ac:dyDescent="0.25">
      <c r="A130" s="200"/>
      <c r="B130" s="167"/>
      <c r="C130" s="382"/>
      <c r="D130" s="382"/>
      <c r="E130" s="382"/>
      <c r="F130" s="382"/>
      <c r="G130" s="382"/>
      <c r="H130" s="382"/>
      <c r="I130" s="382"/>
      <c r="J130" s="382"/>
      <c r="K130" s="382"/>
      <c r="L130" s="382"/>
      <c r="M130" s="382"/>
      <c r="N130" s="2081"/>
      <c r="O130" s="2082"/>
      <c r="P130" s="888">
        <f t="shared" si="1"/>
        <v>0</v>
      </c>
      <c r="Q130" s="759" t="str">
        <f t="shared" si="2"/>
        <v/>
      </c>
      <c r="R130" s="200"/>
      <c r="S130" s="200"/>
      <c r="T130" s="200"/>
      <c r="U130" s="38">
        <f t="shared" si="3"/>
        <v>0</v>
      </c>
      <c r="V130" s="38" t="e">
        <f t="shared" si="4"/>
        <v>#DIV/0!</v>
      </c>
    </row>
    <row r="131" spans="1:22" ht="16.5" customHeight="1" x14ac:dyDescent="0.25">
      <c r="A131" s="200"/>
      <c r="B131" s="167"/>
      <c r="C131" s="382"/>
      <c r="D131" s="382"/>
      <c r="E131" s="382"/>
      <c r="F131" s="382"/>
      <c r="G131" s="382"/>
      <c r="H131" s="382"/>
      <c r="I131" s="382"/>
      <c r="J131" s="382"/>
      <c r="K131" s="382"/>
      <c r="L131" s="382"/>
      <c r="M131" s="382"/>
      <c r="N131" s="2081"/>
      <c r="O131" s="2082"/>
      <c r="P131" s="888">
        <f t="shared" si="1"/>
        <v>0</v>
      </c>
      <c r="Q131" s="759" t="str">
        <f t="shared" si="2"/>
        <v/>
      </c>
      <c r="R131" s="200"/>
      <c r="S131" s="200"/>
      <c r="T131" s="200"/>
      <c r="U131" s="38">
        <f t="shared" si="3"/>
        <v>0</v>
      </c>
      <c r="V131" s="38" t="e">
        <f t="shared" si="4"/>
        <v>#DIV/0!</v>
      </c>
    </row>
    <row r="132" spans="1:22" ht="16.5" customHeight="1" x14ac:dyDescent="0.25">
      <c r="A132" s="200"/>
      <c r="B132" s="200"/>
      <c r="C132" s="200"/>
      <c r="D132" s="200"/>
      <c r="E132" s="200"/>
      <c r="F132" s="200"/>
      <c r="G132" s="200"/>
      <c r="H132" s="200"/>
      <c r="I132" s="200"/>
      <c r="J132" s="200"/>
      <c r="K132" s="200"/>
      <c r="L132" s="200"/>
      <c r="M132" s="200"/>
      <c r="N132" s="200"/>
      <c r="O132" s="200"/>
      <c r="P132" s="200"/>
      <c r="Q132" s="200"/>
      <c r="R132" s="200"/>
      <c r="S132" s="200"/>
      <c r="T132" s="200"/>
    </row>
    <row r="133" spans="1:22" ht="19.5" customHeight="1" x14ac:dyDescent="0.25">
      <c r="A133" s="200"/>
      <c r="B133" s="2039" t="s">
        <v>2093</v>
      </c>
      <c r="C133" s="2039"/>
      <c r="D133" s="2039"/>
      <c r="E133" s="282">
        <f>SUMIF(Q117:Q131,"Yes",C117:C131)</f>
        <v>0</v>
      </c>
      <c r="F133" s="200"/>
      <c r="G133" s="200"/>
      <c r="H133" s="200"/>
      <c r="I133" s="200"/>
      <c r="J133" s="200"/>
      <c r="K133" s="200"/>
      <c r="L133" s="200"/>
      <c r="M133" s="200"/>
      <c r="N133" s="200"/>
      <c r="O133" s="200"/>
      <c r="P133" s="200"/>
      <c r="Q133" s="200"/>
      <c r="R133" s="200"/>
      <c r="S133" s="200"/>
      <c r="T133" s="200"/>
    </row>
    <row r="134" spans="1:22" ht="19.5" customHeight="1" x14ac:dyDescent="0.25">
      <c r="A134" s="200"/>
      <c r="B134" s="2039" t="s">
        <v>608</v>
      </c>
      <c r="C134" s="2039"/>
      <c r="D134" s="2039"/>
      <c r="E134" s="79">
        <f>IFERROR(E133/SUM(C117:C131),0)</f>
        <v>0</v>
      </c>
      <c r="F134" s="200"/>
      <c r="G134" s="200"/>
      <c r="H134" s="200"/>
      <c r="I134" s="200"/>
      <c r="J134" s="200"/>
      <c r="K134" s="200"/>
      <c r="L134" s="200"/>
      <c r="M134" s="200"/>
      <c r="N134" s="200"/>
      <c r="O134" s="200"/>
      <c r="P134" s="200"/>
      <c r="Q134" s="200"/>
      <c r="R134" s="200"/>
      <c r="S134" s="200"/>
      <c r="T134" s="200"/>
    </row>
    <row r="135" spans="1:22" ht="18.75" customHeight="1" x14ac:dyDescent="0.25">
      <c r="A135" s="200"/>
      <c r="B135" s="200"/>
      <c r="C135" s="200"/>
      <c r="D135" s="200"/>
      <c r="E135" s="200"/>
      <c r="F135" s="200"/>
      <c r="G135" s="200"/>
      <c r="H135" s="200"/>
      <c r="I135" s="200"/>
      <c r="J135" s="200"/>
      <c r="K135" s="200"/>
      <c r="L135" s="200"/>
      <c r="M135" s="200"/>
      <c r="N135" s="200"/>
      <c r="O135" s="200"/>
      <c r="P135" s="200"/>
      <c r="Q135" s="200"/>
      <c r="R135" s="200"/>
      <c r="S135" s="200"/>
      <c r="T135" s="200"/>
    </row>
    <row r="136" spans="1:22" ht="16.5" customHeight="1" x14ac:dyDescent="0.25">
      <c r="A136" s="2068" t="s">
        <v>186</v>
      </c>
      <c r="B136" s="2068"/>
      <c r="C136" s="2068"/>
      <c r="D136" s="200"/>
      <c r="E136" s="200"/>
      <c r="F136" s="200"/>
      <c r="G136" s="200"/>
      <c r="H136" s="200"/>
      <c r="I136" s="200"/>
      <c r="J136" s="200"/>
      <c r="K136" s="200"/>
      <c r="L136" s="200"/>
      <c r="M136" s="200"/>
      <c r="N136" s="200"/>
      <c r="O136" s="200"/>
      <c r="P136" s="200"/>
      <c r="Q136" s="200"/>
      <c r="R136" s="200"/>
      <c r="S136" s="200"/>
      <c r="T136" s="200"/>
    </row>
    <row r="137" spans="1:22" x14ac:dyDescent="0.25">
      <c r="A137" s="200"/>
      <c r="B137" s="200"/>
      <c r="C137" s="200"/>
      <c r="D137" s="200"/>
      <c r="E137" s="200"/>
      <c r="F137" s="200"/>
      <c r="G137" s="200"/>
      <c r="H137" s="200"/>
      <c r="I137" s="200"/>
      <c r="J137" s="200"/>
      <c r="K137" s="200"/>
      <c r="L137" s="200"/>
      <c r="M137" s="200"/>
      <c r="N137" s="200"/>
      <c r="O137" s="200"/>
      <c r="P137" s="200"/>
      <c r="Q137" s="200"/>
      <c r="R137" s="200"/>
      <c r="S137" s="200"/>
      <c r="T137" s="200"/>
    </row>
    <row r="138" spans="1:22" ht="18" customHeight="1" x14ac:dyDescent="0.25">
      <c r="A138" s="200"/>
      <c r="B138" s="2119" t="s">
        <v>1739</v>
      </c>
      <c r="C138" s="2119"/>
      <c r="D138" s="2119"/>
      <c r="E138" s="2119"/>
      <c r="F138" s="2119"/>
      <c r="G138" s="2119"/>
      <c r="H138" s="2119"/>
      <c r="I138" s="2119"/>
      <c r="J138" s="2035"/>
      <c r="K138" s="2031" t="s">
        <v>1737</v>
      </c>
      <c r="L138" s="2117"/>
      <c r="M138" s="2031" t="s">
        <v>1738</v>
      </c>
      <c r="N138" s="2118"/>
      <c r="O138" s="2118"/>
      <c r="P138" s="2118"/>
      <c r="Q138" s="200"/>
      <c r="R138" s="200"/>
      <c r="S138" s="200"/>
      <c r="T138" s="200"/>
    </row>
    <row r="139" spans="1:22" ht="24" customHeight="1" x14ac:dyDescent="0.25">
      <c r="A139" s="200"/>
      <c r="B139" s="1576" t="s">
        <v>2096</v>
      </c>
      <c r="C139" s="1577"/>
      <c r="D139" s="1577"/>
      <c r="E139" s="1577"/>
      <c r="F139" s="1577"/>
      <c r="G139" s="1577"/>
      <c r="H139" s="1577"/>
      <c r="I139" s="1577"/>
      <c r="J139" s="1578"/>
      <c r="K139" s="1637" t="s">
        <v>124</v>
      </c>
      <c r="L139" s="1637"/>
      <c r="M139" s="1931"/>
      <c r="N139" s="1932"/>
      <c r="O139" s="1932"/>
      <c r="P139" s="1932"/>
      <c r="Q139" s="200"/>
      <c r="R139" s="200"/>
      <c r="S139" s="200"/>
      <c r="T139" s="200"/>
    </row>
    <row r="140" spans="1:22" ht="24" customHeight="1" x14ac:dyDescent="0.25">
      <c r="A140" s="200"/>
      <c r="B140" s="1576" t="s">
        <v>2097</v>
      </c>
      <c r="C140" s="1577"/>
      <c r="D140" s="1577"/>
      <c r="E140" s="1577"/>
      <c r="F140" s="1577"/>
      <c r="G140" s="1577"/>
      <c r="H140" s="1577"/>
      <c r="I140" s="1577"/>
      <c r="J140" s="1578"/>
      <c r="K140" s="1637" t="s">
        <v>124</v>
      </c>
      <c r="L140" s="1637"/>
      <c r="M140" s="1931"/>
      <c r="N140" s="1932"/>
      <c r="O140" s="1932"/>
      <c r="P140" s="1932"/>
      <c r="Q140" s="200"/>
      <c r="R140" s="200"/>
      <c r="S140" s="200"/>
      <c r="T140" s="200"/>
    </row>
    <row r="141" spans="1:22" ht="18" customHeight="1" x14ac:dyDescent="0.25">
      <c r="A141" s="200"/>
      <c r="B141" s="200"/>
      <c r="C141" s="200"/>
      <c r="D141" s="200"/>
      <c r="E141" s="200"/>
      <c r="F141" s="200"/>
      <c r="G141" s="200"/>
      <c r="H141" s="200"/>
      <c r="I141" s="200"/>
      <c r="J141" s="200"/>
      <c r="K141" s="200"/>
      <c r="L141" s="200"/>
      <c r="M141" s="200"/>
      <c r="N141" s="200"/>
      <c r="O141" s="200"/>
      <c r="P141" s="200"/>
      <c r="Q141" s="200"/>
      <c r="R141" s="200"/>
      <c r="S141" s="200"/>
      <c r="T141" s="200"/>
    </row>
    <row r="142" spans="1:22" ht="16.5" customHeight="1" x14ac:dyDescent="0.25">
      <c r="A142" s="2068" t="s">
        <v>22</v>
      </c>
      <c r="B142" s="2068"/>
      <c r="C142" s="2068"/>
      <c r="D142" s="200"/>
      <c r="E142" s="200"/>
      <c r="F142" s="200"/>
      <c r="G142" s="200"/>
      <c r="H142" s="200"/>
      <c r="I142" s="200"/>
      <c r="J142" s="200"/>
      <c r="K142" s="200"/>
      <c r="L142" s="200"/>
      <c r="M142" s="200"/>
      <c r="N142" s="200"/>
      <c r="O142" s="200"/>
      <c r="P142" s="200"/>
      <c r="Q142" s="200"/>
      <c r="R142" s="200"/>
      <c r="S142" s="200"/>
      <c r="T142" s="200"/>
    </row>
    <row r="143" spans="1:22" x14ac:dyDescent="0.25">
      <c r="A143" s="200"/>
      <c r="B143" s="200"/>
      <c r="C143" s="200"/>
      <c r="D143" s="200"/>
      <c r="E143" s="200"/>
      <c r="F143" s="200"/>
      <c r="G143" s="200"/>
      <c r="H143" s="200"/>
      <c r="I143" s="200"/>
      <c r="J143" s="200"/>
      <c r="K143" s="200"/>
      <c r="L143" s="200"/>
      <c r="M143" s="200"/>
      <c r="N143" s="200"/>
      <c r="O143" s="200"/>
      <c r="P143" s="200"/>
      <c r="Q143" s="200"/>
      <c r="R143" s="200"/>
      <c r="S143" s="200"/>
      <c r="T143" s="200"/>
    </row>
    <row r="144" spans="1:22" ht="18" customHeight="1" x14ac:dyDescent="0.25">
      <c r="A144" s="200"/>
      <c r="B144" s="243" t="s">
        <v>53</v>
      </c>
      <c r="C144" s="2109">
        <f>IF(E134&gt;=0.9,3,IF(E134&gt;=0.7,2,IF(E134&gt;=0.5,1,0)))</f>
        <v>0</v>
      </c>
      <c r="D144" s="2109"/>
      <c r="E144" s="200"/>
      <c r="F144" s="200"/>
      <c r="G144" s="200"/>
      <c r="H144" s="200"/>
      <c r="I144" s="200"/>
      <c r="J144" s="200"/>
      <c r="K144" s="200"/>
      <c r="L144" s="200"/>
      <c r="M144" s="200"/>
      <c r="N144" s="200"/>
      <c r="O144" s="200"/>
      <c r="P144" s="200"/>
      <c r="Q144" s="200"/>
      <c r="R144" s="200"/>
      <c r="S144" s="200"/>
      <c r="T144" s="200"/>
    </row>
    <row r="145" spans="1:20" ht="18" customHeight="1" x14ac:dyDescent="0.25">
      <c r="A145" s="200"/>
      <c r="B145" s="244" t="s">
        <v>492</v>
      </c>
      <c r="C145" s="2109" t="str">
        <f>IF(AND(K140="Submitted",K139="Submitted",C144&gt;0),"Yes","No")</f>
        <v>No</v>
      </c>
      <c r="D145" s="2109"/>
      <c r="E145" s="200"/>
      <c r="F145" s="200"/>
      <c r="G145" s="200"/>
      <c r="H145" s="200"/>
      <c r="I145" s="200"/>
      <c r="J145" s="200"/>
      <c r="K145" s="200"/>
      <c r="L145" s="200"/>
      <c r="M145" s="200"/>
      <c r="N145" s="200"/>
      <c r="O145" s="200"/>
      <c r="P145" s="200"/>
      <c r="Q145" s="200"/>
      <c r="R145" s="200"/>
      <c r="S145" s="200"/>
      <c r="T145" s="200"/>
    </row>
    <row r="146" spans="1:20" x14ac:dyDescent="0.25">
      <c r="A146" s="200"/>
      <c r="B146" s="200"/>
      <c r="C146" s="200"/>
      <c r="D146" s="200"/>
      <c r="E146" s="200"/>
      <c r="F146" s="200"/>
      <c r="G146" s="200"/>
      <c r="H146" s="200"/>
      <c r="I146" s="200"/>
      <c r="J146" s="200"/>
      <c r="K146" s="200"/>
      <c r="L146" s="200"/>
      <c r="M146" s="200"/>
      <c r="N146" s="200"/>
      <c r="O146" s="200"/>
      <c r="P146" s="200"/>
      <c r="Q146" s="200"/>
      <c r="R146" s="200"/>
      <c r="S146" s="200"/>
      <c r="T146" s="200"/>
    </row>
    <row r="147" spans="1:20" hidden="1" x14ac:dyDescent="0.25">
      <c r="A147" s="200"/>
      <c r="B147" s="200"/>
      <c r="C147" s="200"/>
      <c r="D147" s="200"/>
      <c r="E147" s="200"/>
      <c r="F147" s="200"/>
      <c r="G147" s="200"/>
      <c r="H147" s="200"/>
      <c r="I147" s="200"/>
      <c r="J147" s="200"/>
      <c r="K147" s="200"/>
      <c r="L147" s="200"/>
      <c r="M147" s="200"/>
      <c r="N147" s="200"/>
      <c r="O147" s="200"/>
      <c r="P147" s="200"/>
      <c r="Q147" s="200"/>
      <c r="R147" s="200"/>
      <c r="S147" s="200"/>
      <c r="T147" s="200"/>
    </row>
    <row r="148" spans="1:20" hidden="1" x14ac:dyDescent="0.25">
      <c r="A148" s="200"/>
      <c r="B148" s="200"/>
      <c r="C148" s="200"/>
      <c r="D148" s="200"/>
      <c r="E148" s="200"/>
      <c r="F148" s="200"/>
      <c r="G148" s="200"/>
      <c r="H148" s="200"/>
      <c r="I148" s="200"/>
      <c r="J148" s="200"/>
      <c r="K148" s="200"/>
      <c r="L148" s="200"/>
      <c r="M148" s="200"/>
      <c r="N148" s="200"/>
      <c r="O148" s="200"/>
      <c r="P148" s="200"/>
      <c r="Q148" s="200"/>
      <c r="R148" s="200"/>
      <c r="S148" s="200"/>
      <c r="T148" s="200"/>
    </row>
    <row r="149" spans="1:20" ht="15" hidden="1" customHeight="1" x14ac:dyDescent="0.25"/>
    <row r="150" spans="1:20" ht="15" hidden="1" customHeight="1" x14ac:dyDescent="0.25"/>
    <row r="151" spans="1:20" ht="15" hidden="1" customHeight="1" x14ac:dyDescent="0.25"/>
    <row r="152" spans="1:20" ht="15" hidden="1" customHeight="1" x14ac:dyDescent="0.25"/>
    <row r="153" spans="1:20" ht="15" hidden="1" customHeight="1" x14ac:dyDescent="0.25"/>
    <row r="154" spans="1:20" ht="15" hidden="1" customHeight="1" x14ac:dyDescent="0.25"/>
    <row r="155" spans="1:20" ht="15" hidden="1" customHeight="1" x14ac:dyDescent="0.25"/>
    <row r="156" spans="1:20" ht="15" hidden="1" customHeight="1" x14ac:dyDescent="0.25"/>
    <row r="157" spans="1:20" ht="15" hidden="1" customHeight="1" x14ac:dyDescent="0.25"/>
    <row r="158" spans="1:20" ht="15" hidden="1" customHeight="1" x14ac:dyDescent="0.25"/>
    <row r="159" spans="1:20" ht="15" hidden="1" customHeight="1" x14ac:dyDescent="0.25"/>
    <row r="160" spans="1:2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sheetData>
  <sheetProtection algorithmName="SHA-512" hashValue="+WZYAmPw9IP5KnOLiJuWrr5of77rigKH3KlwLwK/mF+0I2zIpvadkiaaxHBIs+94wXl0wjeWu68v1QFMM8BMIQ==" saltValue="JfwyxWJz0pZA5vWfGLLWRw==" spinCount="100000" sheet="1" objects="1" scenarios="1"/>
  <mergeCells count="147">
    <mergeCell ref="M139:P139"/>
    <mergeCell ref="M140:P140"/>
    <mergeCell ref="M94:P94"/>
    <mergeCell ref="B133:D133"/>
    <mergeCell ref="B134:D134"/>
    <mergeCell ref="I84:J84"/>
    <mergeCell ref="I74:J74"/>
    <mergeCell ref="F74:H74"/>
    <mergeCell ref="D75:E75"/>
    <mergeCell ref="F75:H75"/>
    <mergeCell ref="A136:C136"/>
    <mergeCell ref="K93:L93"/>
    <mergeCell ref="M93:P93"/>
    <mergeCell ref="B93:J93"/>
    <mergeCell ref="B138:J138"/>
    <mergeCell ref="K138:L138"/>
    <mergeCell ref="M138:P138"/>
    <mergeCell ref="N131:O131"/>
    <mergeCell ref="N129:O129"/>
    <mergeCell ref="N130:O130"/>
    <mergeCell ref="N126:O126"/>
    <mergeCell ref="N127:O127"/>
    <mergeCell ref="N117:O117"/>
    <mergeCell ref="N118:O118"/>
    <mergeCell ref="A1:R1"/>
    <mergeCell ref="C144:D144"/>
    <mergeCell ref="M63:Q64"/>
    <mergeCell ref="E11:F11"/>
    <mergeCell ref="M17:N17"/>
    <mergeCell ref="K13:L13"/>
    <mergeCell ref="K14:L14"/>
    <mergeCell ref="K16:L16"/>
    <mergeCell ref="K17:L17"/>
    <mergeCell ref="M13:N13"/>
    <mergeCell ref="M14:N14"/>
    <mergeCell ref="M16:N16"/>
    <mergeCell ref="K139:L139"/>
    <mergeCell ref="A5:R7"/>
    <mergeCell ref="I72:J72"/>
    <mergeCell ref="I73:J73"/>
    <mergeCell ref="I83:J83"/>
    <mergeCell ref="B21:I21"/>
    <mergeCell ref="B22:I22"/>
    <mergeCell ref="B23:I23"/>
    <mergeCell ref="B24:I24"/>
    <mergeCell ref="A65:C65"/>
    <mergeCell ref="I17:J17"/>
    <mergeCell ref="N128:O128"/>
    <mergeCell ref="C145:D145"/>
    <mergeCell ref="B139:J139"/>
    <mergeCell ref="B16:H16"/>
    <mergeCell ref="I16:J16"/>
    <mergeCell ref="D86:E86"/>
    <mergeCell ref="I82:J82"/>
    <mergeCell ref="F85:H85"/>
    <mergeCell ref="F86:H86"/>
    <mergeCell ref="D73:E73"/>
    <mergeCell ref="F73:H73"/>
    <mergeCell ref="D83:E83"/>
    <mergeCell ref="F83:H83"/>
    <mergeCell ref="D74:E74"/>
    <mergeCell ref="I75:J75"/>
    <mergeCell ref="I76:J76"/>
    <mergeCell ref="A142:C142"/>
    <mergeCell ref="A28:C28"/>
    <mergeCell ref="D71:E71"/>
    <mergeCell ref="D72:E72"/>
    <mergeCell ref="B113:D113"/>
    <mergeCell ref="E113:G113"/>
    <mergeCell ref="I85:J85"/>
    <mergeCell ref="I86:J86"/>
    <mergeCell ref="I71:J71"/>
    <mergeCell ref="U115:U116"/>
    <mergeCell ref="V115:V116"/>
    <mergeCell ref="Q115:Q116"/>
    <mergeCell ref="J115:J116"/>
    <mergeCell ref="K115:M115"/>
    <mergeCell ref="K94:L94"/>
    <mergeCell ref="I115:I116"/>
    <mergeCell ref="B94:J94"/>
    <mergeCell ref="C98:D98"/>
    <mergeCell ref="C99:D99"/>
    <mergeCell ref="A108:C108"/>
    <mergeCell ref="A96:C96"/>
    <mergeCell ref="B115:B116"/>
    <mergeCell ref="C115:C116"/>
    <mergeCell ref="D115:D116"/>
    <mergeCell ref="E115:E116"/>
    <mergeCell ref="F115:H115"/>
    <mergeCell ref="N115:O116"/>
    <mergeCell ref="D79:E79"/>
    <mergeCell ref="F79:H79"/>
    <mergeCell ref="I79:J79"/>
    <mergeCell ref="D80:E80"/>
    <mergeCell ref="F80:H80"/>
    <mergeCell ref="I80:J80"/>
    <mergeCell ref="D81:E81"/>
    <mergeCell ref="F81:H81"/>
    <mergeCell ref="I81:J81"/>
    <mergeCell ref="B140:J140"/>
    <mergeCell ref="K140:L140"/>
    <mergeCell ref="M2:P4"/>
    <mergeCell ref="P115:P116"/>
    <mergeCell ref="B88:D88"/>
    <mergeCell ref="B89:D89"/>
    <mergeCell ref="B105:L106"/>
    <mergeCell ref="B53:E53"/>
    <mergeCell ref="G34:P36"/>
    <mergeCell ref="G37:P38"/>
    <mergeCell ref="B54:E54"/>
    <mergeCell ref="B34:E39"/>
    <mergeCell ref="G39:P42"/>
    <mergeCell ref="D84:E84"/>
    <mergeCell ref="D85:E85"/>
    <mergeCell ref="D76:E76"/>
    <mergeCell ref="F76:H76"/>
    <mergeCell ref="D82:E82"/>
    <mergeCell ref="F82:H82"/>
    <mergeCell ref="B51:E51"/>
    <mergeCell ref="G63:K64"/>
    <mergeCell ref="B13:H13"/>
    <mergeCell ref="B14:H14"/>
    <mergeCell ref="I13:J13"/>
    <mergeCell ref="N121:O121"/>
    <mergeCell ref="N122:O122"/>
    <mergeCell ref="N123:O123"/>
    <mergeCell ref="N124:O124"/>
    <mergeCell ref="N125:O125"/>
    <mergeCell ref="N119:O119"/>
    <mergeCell ref="N120:O120"/>
    <mergeCell ref="F84:H84"/>
    <mergeCell ref="A9:R9"/>
    <mergeCell ref="A19:R19"/>
    <mergeCell ref="A26:R26"/>
    <mergeCell ref="A101:R101"/>
    <mergeCell ref="I14:J14"/>
    <mergeCell ref="B11:D11"/>
    <mergeCell ref="B17:H17"/>
    <mergeCell ref="F71:H71"/>
    <mergeCell ref="F72:H72"/>
    <mergeCell ref="A91:C91"/>
    <mergeCell ref="D77:E77"/>
    <mergeCell ref="F77:H77"/>
    <mergeCell ref="I77:J77"/>
    <mergeCell ref="D78:E78"/>
    <mergeCell ref="F78:H78"/>
    <mergeCell ref="I78:J78"/>
  </mergeCells>
  <conditionalFormatting sqref="N117:O120 N126:O131">
    <cfRule type="expression" dxfId="128" priority="13">
      <formula>$E$113="Spreadsheet calculations"</formula>
    </cfRule>
  </conditionalFormatting>
  <conditionalFormatting sqref="M93">
    <cfRule type="expression" dxfId="127" priority="12">
      <formula>#REF!&lt;&gt;"Prescriptive Path"</formula>
    </cfRule>
  </conditionalFormatting>
  <conditionalFormatting sqref="K93:L93">
    <cfRule type="expression" dxfId="126" priority="11">
      <formula>#REF!&lt;&gt;"Prescriptive Path"</formula>
    </cfRule>
  </conditionalFormatting>
  <conditionalFormatting sqref="M138">
    <cfRule type="expression" dxfId="125" priority="10">
      <formula>#REF!&lt;&gt;"Prescriptive Path"</formula>
    </cfRule>
  </conditionalFormatting>
  <conditionalFormatting sqref="K138:L138">
    <cfRule type="expression" dxfId="124" priority="9">
      <formula>#REF!&lt;&gt;"Prescriptive Path"</formula>
    </cfRule>
  </conditionalFormatting>
  <conditionalFormatting sqref="M139">
    <cfRule type="expression" dxfId="123" priority="7">
      <formula>$B139="/"</formula>
    </cfRule>
    <cfRule type="expression" dxfId="122" priority="8">
      <formula>$B139="No evidence required at this submission stage"</formula>
    </cfRule>
  </conditionalFormatting>
  <conditionalFormatting sqref="M140">
    <cfRule type="expression" dxfId="121" priority="5">
      <formula>$B140="/"</formula>
    </cfRule>
    <cfRule type="expression" dxfId="120" priority="6">
      <formula>$B140="No evidence required at this submission stage"</formula>
    </cfRule>
  </conditionalFormatting>
  <conditionalFormatting sqref="M94">
    <cfRule type="expression" dxfId="119" priority="3">
      <formula>$B94="/"</formula>
    </cfRule>
    <cfRule type="expression" dxfId="118" priority="4">
      <formula>$B94="No evidence required at this submission stage"</formula>
    </cfRule>
  </conditionalFormatting>
  <conditionalFormatting sqref="N121:O124">
    <cfRule type="expression" dxfId="117" priority="2">
      <formula>$E$113="Spreadsheet calculations"</formula>
    </cfRule>
  </conditionalFormatting>
  <conditionalFormatting sqref="N125:O125">
    <cfRule type="expression" dxfId="116" priority="1">
      <formula>$E$113="Spreadsheet calculations"</formula>
    </cfRule>
  </conditionalFormatting>
  <dataValidations xWindow="730" yWindow="561" count="9">
    <dataValidation type="list" allowBlank="1" showInputMessage="1" showErrorMessage="1" sqref="E11" xr:uid="{00000000-0002-0000-2500-000000000000}">
      <formula1>"Select,Prescriptive Path, Performance Path"</formula1>
    </dataValidation>
    <dataValidation allowBlank="1" showInputMessage="1" showErrorMessage="1" prompt="To be compliant, rooms need to have a daylit zone area of more than 50% of their floor area" sqref="I71:J86" xr:uid="{00000000-0002-0000-2500-000001000000}"/>
    <dataValidation allowBlank="1" showInputMessage="1" showErrorMessage="1" prompt="Angle of visible sky from the mid-point of the window [degrees]" sqref="E115:E116" xr:uid="{00000000-0002-0000-2500-000002000000}"/>
    <dataValidation allowBlank="1" showInputMessage="1" showErrorMessage="1" prompt="Maintenance factor. This factor considers the dirt on the exterior surface of the glass and takes into account the location of the building, the use of the room and the slope of the fenestration " sqref="I115:I116" xr:uid="{00000000-0002-0000-2500-000003000000}"/>
    <dataValidation allowBlank="1" showInputMessage="1" showErrorMessage="1" prompt="Visible light transmission (Values of Table in Resources can be used if manufacturer’s data is not available)" sqref="J115:J116" xr:uid="{00000000-0002-0000-2500-000004000000}"/>
    <dataValidation allowBlank="1" showInputMessage="1" showErrorMessage="1" prompt="Reflectance of surrounding room surfaces _x000a_(recommended values in Resources can be used)" sqref="K115:M115" xr:uid="{00000000-0002-0000-2500-000005000000}"/>
    <dataValidation type="list" allowBlank="1" showInputMessage="1" showErrorMessage="1" sqref="E113:G113" xr:uid="{00000000-0002-0000-2500-000006000000}">
      <formula1>"Select,Daylight modelling software, Spreadsheet calculations"</formula1>
    </dataValidation>
    <dataValidation allowBlank="1" showInputMessage="1" showErrorMessage="1" prompt="Complete only if a daylight modelling software is used to calculate the daylight factor" sqref="N115:O131" xr:uid="{00000000-0002-0000-2500-000007000000}"/>
    <dataValidation type="list" allowBlank="1" showInputMessage="1" showErrorMessage="1" sqref="K94:L94 K139:L140" xr:uid="{00000000-0002-0000-2500-000008000000}">
      <formula1>"Select,Submitted,Not submitted"</formula1>
    </dataValidation>
  </dataValidations>
  <hyperlinks>
    <hyperlink ref="Q3" location="'H-2 Ventilation in wet areas'!E3" tooltip="H-2" display="H-2" xr:uid="{00000000-0004-0000-2500-000000000000}"/>
    <hyperlink ref="Q2" location="'H-1 Fresh Air Supply'!B3" tooltip="H-1" display="H-1" xr:uid="{00000000-0004-0000-2500-000001000000}"/>
    <hyperlink ref="R3" location="'H-6 External Views'!B3" tooltip="H-6" display="H-6" xr:uid="{00000000-0004-0000-2500-000002000000}"/>
    <hyperlink ref="R2" location="'H-4 Low-VOC Emissions'!B3" tooltip="H-4" display="H-4" xr:uid="{00000000-0004-0000-2500-000003000000}"/>
    <hyperlink ref="R4" location="'H&amp;C BPC'!D3" tooltip="BPC" display="BPC" xr:uid="{00000000-0004-0000-2500-000004000000}"/>
    <hyperlink ref="Q4" location="'H-3 CO2 Monitoring'!B3" tooltip="H-3" display="H-3" xr:uid="{00000000-0004-0000-2500-000005000000}"/>
  </hyperlinks>
  <pageMargins left="0.7" right="0.7" top="0.75" bottom="0.75" header="0.3" footer="0.3"/>
  <pageSetup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1">
    <tabColor rgb="FF943634"/>
  </sheetPr>
  <dimension ref="A1:P271"/>
  <sheetViews>
    <sheetView showRowColHeaders="0" workbookViewId="0">
      <pane ySplit="8" topLeftCell="A9" activePane="bottomLeft" state="frozen"/>
      <selection pane="bottomLeft" activeCell="L4" sqref="L4"/>
    </sheetView>
  </sheetViews>
  <sheetFormatPr defaultColWidth="0" defaultRowHeight="15" customHeight="1" zeroHeight="1" x14ac:dyDescent="0.25"/>
  <cols>
    <col min="1" max="1" width="5.7109375" style="38" customWidth="1"/>
    <col min="2" max="2" width="18.7109375" style="38" customWidth="1"/>
    <col min="3" max="4" width="20.7109375" style="38" customWidth="1"/>
    <col min="5" max="5" width="25.85546875" style="38" customWidth="1"/>
    <col min="6" max="6" width="10.85546875" style="38" customWidth="1"/>
    <col min="7" max="7" width="16.85546875" style="38" customWidth="1"/>
    <col min="8" max="9" width="17.7109375" style="38" customWidth="1"/>
    <col min="10" max="11" width="4.5703125" style="38" customWidth="1"/>
    <col min="12" max="13" width="8" style="38" customWidth="1"/>
    <col min="14" max="16384" width="9.140625" style="38" hidden="1"/>
  </cols>
  <sheetData>
    <row r="1" spans="1:14" ht="23.25" x14ac:dyDescent="0.25">
      <c r="A1" s="2033" t="s">
        <v>1821</v>
      </c>
      <c r="B1" s="2033"/>
      <c r="C1" s="2033"/>
      <c r="D1" s="2033"/>
      <c r="E1" s="2033"/>
      <c r="F1" s="2033"/>
      <c r="G1" s="2033"/>
      <c r="H1" s="2033"/>
      <c r="I1" s="2033"/>
      <c r="J1" s="2033"/>
      <c r="K1" s="2033"/>
      <c r="L1" s="2033"/>
      <c r="M1" s="2033"/>
    </row>
    <row r="2" spans="1:14" ht="15" customHeight="1" x14ac:dyDescent="0.25">
      <c r="A2" s="49"/>
      <c r="B2" s="50"/>
      <c r="C2" s="50"/>
      <c r="D2" s="50"/>
      <c r="E2" s="50"/>
      <c r="F2" s="49"/>
      <c r="G2" s="283"/>
      <c r="H2" s="283"/>
      <c r="I2" s="1585" t="s">
        <v>745</v>
      </c>
      <c r="J2" s="1585"/>
      <c r="K2" s="1585"/>
      <c r="L2" s="734" t="s">
        <v>80</v>
      </c>
      <c r="M2" s="734" t="s">
        <v>92</v>
      </c>
    </row>
    <row r="3" spans="1:14" ht="15" customHeight="1" x14ac:dyDescent="0.25">
      <c r="A3" s="49"/>
      <c r="B3" s="50"/>
      <c r="C3" s="50"/>
      <c r="D3" s="50"/>
      <c r="E3" s="50"/>
      <c r="F3" s="49"/>
      <c r="G3" s="283"/>
      <c r="H3" s="283"/>
      <c r="I3" s="1585"/>
      <c r="J3" s="1585"/>
      <c r="K3" s="1585"/>
      <c r="L3" s="734" t="s">
        <v>82</v>
      </c>
      <c r="M3" s="734" t="s">
        <v>729</v>
      </c>
    </row>
    <row r="4" spans="1:14" ht="15" customHeight="1" x14ac:dyDescent="0.25">
      <c r="A4" s="49"/>
      <c r="B4" s="50"/>
      <c r="C4" s="50"/>
      <c r="D4" s="50"/>
      <c r="E4" s="50"/>
      <c r="F4" s="49"/>
      <c r="G4" s="284"/>
      <c r="H4" s="284"/>
      <c r="I4" s="1586"/>
      <c r="J4" s="1586"/>
      <c r="K4" s="1586"/>
      <c r="L4" s="734" t="s">
        <v>87</v>
      </c>
      <c r="M4" s="734" t="s">
        <v>76</v>
      </c>
    </row>
    <row r="5" spans="1:14" ht="17.25" customHeight="1" x14ac:dyDescent="0.25">
      <c r="A5" s="1600" t="s">
        <v>2652</v>
      </c>
      <c r="B5" s="1601"/>
      <c r="C5" s="1601"/>
      <c r="D5" s="1601"/>
      <c r="E5" s="1601"/>
      <c r="F5" s="1601"/>
      <c r="G5" s="1601"/>
      <c r="H5" s="1601"/>
      <c r="I5" s="1601"/>
      <c r="J5" s="1601"/>
      <c r="K5" s="1601"/>
      <c r="L5" s="1601"/>
      <c r="M5" s="1602"/>
    </row>
    <row r="6" spans="1:14" ht="17.25" customHeight="1" x14ac:dyDescent="0.25">
      <c r="A6" s="1603"/>
      <c r="B6" s="1604"/>
      <c r="C6" s="1604"/>
      <c r="D6" s="1604"/>
      <c r="E6" s="1604"/>
      <c r="F6" s="1604"/>
      <c r="G6" s="1604"/>
      <c r="H6" s="1604"/>
      <c r="I6" s="1604"/>
      <c r="J6" s="1604"/>
      <c r="K6" s="1604"/>
      <c r="L6" s="1604"/>
      <c r="M6" s="1605"/>
    </row>
    <row r="7" spans="1:14" ht="17.25" customHeight="1" x14ac:dyDescent="0.25">
      <c r="A7" s="1606"/>
      <c r="B7" s="1607"/>
      <c r="C7" s="1607"/>
      <c r="D7" s="1607"/>
      <c r="E7" s="1607"/>
      <c r="F7" s="1607"/>
      <c r="G7" s="1607"/>
      <c r="H7" s="1607"/>
      <c r="I7" s="1607"/>
      <c r="J7" s="1607"/>
      <c r="K7" s="1607"/>
      <c r="L7" s="1607"/>
      <c r="M7" s="1608"/>
    </row>
    <row r="8" spans="1:14" ht="12" customHeight="1" x14ac:dyDescent="0.25">
      <c r="A8" s="49"/>
      <c r="B8" s="50"/>
      <c r="C8" s="50"/>
      <c r="D8" s="50"/>
      <c r="E8" s="50"/>
      <c r="F8" s="49"/>
      <c r="G8" s="49"/>
      <c r="H8" s="49"/>
      <c r="I8" s="49"/>
      <c r="J8" s="49"/>
      <c r="K8" s="49"/>
      <c r="L8" s="49"/>
      <c r="M8" s="49"/>
    </row>
    <row r="9" spans="1:14" ht="18" customHeight="1" x14ac:dyDescent="0.25">
      <c r="A9" s="2016" t="s">
        <v>177</v>
      </c>
      <c r="B9" s="2016"/>
      <c r="C9" s="2016"/>
      <c r="D9" s="2016"/>
      <c r="E9" s="2016"/>
      <c r="F9" s="2016"/>
      <c r="G9" s="2016"/>
      <c r="H9" s="2016"/>
      <c r="I9" s="2016"/>
      <c r="J9" s="2016"/>
      <c r="K9" s="2016"/>
      <c r="L9" s="2016"/>
      <c r="M9" s="2016"/>
    </row>
    <row r="10" spans="1:14" x14ac:dyDescent="0.25">
      <c r="A10" s="49"/>
      <c r="B10" s="50"/>
      <c r="C10" s="50"/>
      <c r="D10" s="50"/>
      <c r="E10" s="50"/>
      <c r="F10" s="49"/>
      <c r="G10" s="49"/>
      <c r="H10" s="49"/>
      <c r="I10" s="49"/>
      <c r="J10" s="49"/>
      <c r="K10" s="49"/>
      <c r="L10" s="49"/>
      <c r="M10" s="49"/>
    </row>
    <row r="11" spans="1:14" ht="18" customHeight="1" x14ac:dyDescent="0.25">
      <c r="A11" s="49"/>
      <c r="B11" s="2063" t="s">
        <v>178</v>
      </c>
      <c r="C11" s="2064"/>
      <c r="D11" s="2064"/>
      <c r="E11" s="2064"/>
      <c r="F11" s="2064"/>
      <c r="G11" s="1020" t="s">
        <v>152</v>
      </c>
      <c r="H11" s="1020" t="s">
        <v>53</v>
      </c>
      <c r="I11" s="954" t="s">
        <v>492</v>
      </c>
      <c r="J11" s="49"/>
      <c r="K11" s="49"/>
      <c r="L11" s="49"/>
      <c r="M11" s="49"/>
    </row>
    <row r="12" spans="1:14" ht="30" customHeight="1" x14ac:dyDescent="0.25">
      <c r="A12" s="49"/>
      <c r="B12" s="2126" t="s">
        <v>2303</v>
      </c>
      <c r="C12" s="2127" t="s">
        <v>128</v>
      </c>
      <c r="D12" s="2127" t="s">
        <v>128</v>
      </c>
      <c r="E12" s="2127" t="s">
        <v>128</v>
      </c>
      <c r="F12" s="2128">
        <v>3</v>
      </c>
      <c r="G12" s="955">
        <v>2</v>
      </c>
      <c r="H12" s="955">
        <f>C72</f>
        <v>0</v>
      </c>
      <c r="I12" s="955" t="str">
        <f>C73</f>
        <v>No</v>
      </c>
      <c r="J12" s="49"/>
      <c r="K12" s="49"/>
      <c r="L12" s="49"/>
      <c r="M12" s="49"/>
      <c r="N12" s="38" t="str">
        <f>IF(H12&lt;&gt;0,IF(I12="No","No","Yes"),"Yes")</f>
        <v>Yes</v>
      </c>
    </row>
    <row r="13" spans="1:14" ht="18" customHeight="1" x14ac:dyDescent="0.25">
      <c r="A13" s="49"/>
      <c r="B13" s="50"/>
      <c r="C13" s="50"/>
      <c r="D13" s="50"/>
      <c r="E13" s="50"/>
      <c r="F13" s="49"/>
      <c r="G13" s="49"/>
      <c r="H13" s="49"/>
      <c r="I13" s="49"/>
      <c r="J13" s="49"/>
      <c r="K13" s="49"/>
      <c r="L13" s="49"/>
      <c r="M13" s="49"/>
    </row>
    <row r="14" spans="1:14" ht="18" customHeight="1" x14ac:dyDescent="0.25">
      <c r="A14" s="2016" t="s">
        <v>245</v>
      </c>
      <c r="B14" s="2016"/>
      <c r="C14" s="2016"/>
      <c r="D14" s="2016"/>
      <c r="E14" s="2016"/>
      <c r="F14" s="2016"/>
      <c r="G14" s="2016"/>
      <c r="H14" s="2016"/>
      <c r="I14" s="2016"/>
      <c r="J14" s="2016"/>
      <c r="K14" s="2016"/>
      <c r="L14" s="2016"/>
      <c r="M14" s="2016"/>
    </row>
    <row r="15" spans="1:14" x14ac:dyDescent="0.25">
      <c r="A15" s="49"/>
      <c r="B15" s="49"/>
      <c r="C15" s="49"/>
      <c r="D15" s="49"/>
      <c r="E15" s="49"/>
      <c r="F15" s="49"/>
      <c r="G15" s="49"/>
      <c r="H15" s="49"/>
      <c r="I15" s="49"/>
      <c r="J15" s="49"/>
      <c r="K15" s="49"/>
      <c r="L15" s="49"/>
      <c r="M15" s="49"/>
    </row>
    <row r="16" spans="1:14" x14ac:dyDescent="0.25">
      <c r="A16" s="49"/>
      <c r="B16" s="1021" t="s">
        <v>1789</v>
      </c>
      <c r="C16" s="49"/>
      <c r="D16" s="49"/>
      <c r="E16" s="49"/>
      <c r="F16" s="49"/>
      <c r="G16" s="49"/>
      <c r="H16" s="49"/>
      <c r="I16" s="49"/>
      <c r="J16" s="49"/>
      <c r="K16" s="49"/>
      <c r="L16" s="49"/>
      <c r="M16" s="49"/>
    </row>
    <row r="17" spans="1:13" x14ac:dyDescent="0.25">
      <c r="A17" s="49"/>
      <c r="B17" s="49"/>
      <c r="C17" s="49"/>
      <c r="D17" s="49"/>
      <c r="E17" s="49"/>
      <c r="F17" s="49"/>
      <c r="G17" s="49"/>
      <c r="H17" s="49"/>
      <c r="I17" s="49"/>
      <c r="J17" s="49"/>
      <c r="K17" s="49"/>
      <c r="L17" s="49"/>
      <c r="M17" s="49"/>
    </row>
    <row r="18" spans="1:13" x14ac:dyDescent="0.25">
      <c r="A18" s="49"/>
      <c r="B18" s="949" t="s">
        <v>1790</v>
      </c>
      <c r="C18" s="570"/>
      <c r="D18" s="570"/>
      <c r="E18" s="570"/>
      <c r="F18" s="570"/>
      <c r="G18" s="570"/>
      <c r="H18" s="570"/>
      <c r="I18" s="570"/>
      <c r="J18" s="571"/>
      <c r="K18" s="49"/>
      <c r="L18" s="49"/>
      <c r="M18" s="49"/>
    </row>
    <row r="19" spans="1:13" x14ac:dyDescent="0.25">
      <c r="A19" s="49"/>
      <c r="B19" s="1172" t="s">
        <v>1791</v>
      </c>
      <c r="C19" s="1181"/>
      <c r="D19" s="1181"/>
      <c r="E19" s="1181"/>
      <c r="F19" s="1181"/>
      <c r="G19" s="1181"/>
      <c r="H19" s="1181"/>
      <c r="I19" s="1181"/>
      <c r="J19" s="1182"/>
      <c r="K19" s="49"/>
      <c r="L19" s="49"/>
      <c r="M19" s="49"/>
    </row>
    <row r="20" spans="1:13" x14ac:dyDescent="0.25">
      <c r="A20" s="49"/>
      <c r="B20" s="1172" t="s">
        <v>1792</v>
      </c>
      <c r="C20" s="1181"/>
      <c r="D20" s="1181"/>
      <c r="E20" s="1181"/>
      <c r="F20" s="1181"/>
      <c r="G20" s="1181"/>
      <c r="H20" s="1181"/>
      <c r="I20" s="1181"/>
      <c r="J20" s="1182"/>
      <c r="K20" s="49"/>
      <c r="L20" s="49"/>
      <c r="M20" s="49"/>
    </row>
    <row r="21" spans="1:13" x14ac:dyDescent="0.25">
      <c r="A21" s="49"/>
      <c r="B21" s="953" t="s">
        <v>1793</v>
      </c>
      <c r="C21" s="575"/>
      <c r="D21" s="575"/>
      <c r="E21" s="575"/>
      <c r="F21" s="575"/>
      <c r="G21" s="575"/>
      <c r="H21" s="575"/>
      <c r="I21" s="575"/>
      <c r="J21" s="576"/>
      <c r="K21" s="49"/>
      <c r="L21" s="49"/>
      <c r="M21" s="49"/>
    </row>
    <row r="22" spans="1:13" x14ac:dyDescent="0.25">
      <c r="A22" s="49"/>
      <c r="B22" s="49"/>
      <c r="C22" s="49"/>
      <c r="D22" s="49"/>
      <c r="E22" s="49"/>
      <c r="F22" s="49"/>
      <c r="G22" s="49"/>
      <c r="H22" s="49"/>
      <c r="I22" s="49"/>
      <c r="J22" s="49"/>
      <c r="K22" s="49"/>
      <c r="L22" s="49"/>
      <c r="M22" s="49"/>
    </row>
    <row r="23" spans="1:13" ht="15.75" customHeight="1" x14ac:dyDescent="0.25">
      <c r="A23" s="49"/>
      <c r="B23" s="627" t="s">
        <v>1794</v>
      </c>
      <c r="C23" s="570"/>
      <c r="D23" s="570"/>
      <c r="E23" s="570"/>
      <c r="F23" s="570"/>
      <c r="G23" s="570"/>
      <c r="H23" s="570"/>
      <c r="I23" s="570"/>
      <c r="J23" s="571"/>
      <c r="K23" s="49"/>
      <c r="L23" s="49"/>
      <c r="M23" s="49"/>
    </row>
    <row r="24" spans="1:13" ht="15.75" customHeight="1" x14ac:dyDescent="0.25">
      <c r="A24" s="49"/>
      <c r="B24" s="1172" t="s">
        <v>1795</v>
      </c>
      <c r="C24" s="1173"/>
      <c r="D24" s="1173"/>
      <c r="E24" s="1173"/>
      <c r="F24" s="1173"/>
      <c r="G24" s="1173"/>
      <c r="H24" s="1173"/>
      <c r="I24" s="1173"/>
      <c r="J24" s="1174"/>
      <c r="K24" s="49"/>
      <c r="L24" s="49"/>
      <c r="M24" s="49"/>
    </row>
    <row r="25" spans="1:13" ht="15.75" customHeight="1" x14ac:dyDescent="0.25">
      <c r="A25" s="49"/>
      <c r="B25" s="639" t="s">
        <v>1796</v>
      </c>
      <c r="C25" s="575"/>
      <c r="D25" s="575"/>
      <c r="E25" s="575"/>
      <c r="F25" s="575"/>
      <c r="G25" s="575"/>
      <c r="H25" s="575"/>
      <c r="I25" s="575"/>
      <c r="J25" s="576"/>
      <c r="K25" s="49"/>
      <c r="L25" s="49"/>
      <c r="M25" s="49"/>
    </row>
    <row r="26" spans="1:13" ht="16.5" customHeight="1" x14ac:dyDescent="0.25">
      <c r="A26" s="49"/>
      <c r="B26" s="49"/>
      <c r="C26" s="49"/>
      <c r="D26" s="49"/>
      <c r="E26" s="49"/>
      <c r="F26" s="49"/>
      <c r="G26" s="49"/>
      <c r="H26" s="49"/>
      <c r="I26" s="49"/>
      <c r="J26" s="49"/>
      <c r="K26" s="49"/>
      <c r="L26" s="49"/>
      <c r="M26" s="49"/>
    </row>
    <row r="27" spans="1:13" ht="15.75" customHeight="1" x14ac:dyDescent="0.25">
      <c r="A27" s="49"/>
      <c r="B27" s="627" t="s">
        <v>1797</v>
      </c>
      <c r="C27" s="570"/>
      <c r="D27" s="570"/>
      <c r="E27" s="570"/>
      <c r="F27" s="570"/>
      <c r="G27" s="570"/>
      <c r="H27" s="570"/>
      <c r="I27" s="570"/>
      <c r="J27" s="571"/>
      <c r="K27" s="49"/>
      <c r="L27" s="49"/>
      <c r="M27" s="49"/>
    </row>
    <row r="28" spans="1:13" ht="15.75" customHeight="1" x14ac:dyDescent="0.25">
      <c r="A28" s="49"/>
      <c r="B28" s="2120" t="s">
        <v>1798</v>
      </c>
      <c r="C28" s="2121"/>
      <c r="D28" s="2121"/>
      <c r="E28" s="2121"/>
      <c r="F28" s="2121"/>
      <c r="G28" s="2121"/>
      <c r="H28" s="2121"/>
      <c r="I28" s="2121"/>
      <c r="J28" s="2122"/>
      <c r="K28" s="49"/>
      <c r="L28" s="49"/>
      <c r="M28" s="49"/>
    </row>
    <row r="29" spans="1:13" ht="15.75" customHeight="1" x14ac:dyDescent="0.25">
      <c r="A29" s="49"/>
      <c r="B29" s="2123" t="s">
        <v>1799</v>
      </c>
      <c r="C29" s="2124"/>
      <c r="D29" s="2124"/>
      <c r="E29" s="2124"/>
      <c r="F29" s="2124"/>
      <c r="G29" s="2124"/>
      <c r="H29" s="2124"/>
      <c r="I29" s="2124"/>
      <c r="J29" s="2125"/>
      <c r="K29" s="49"/>
      <c r="L29" s="49"/>
      <c r="M29" s="49"/>
    </row>
    <row r="30" spans="1:13" ht="16.5" customHeight="1" x14ac:dyDescent="0.25">
      <c r="A30" s="49"/>
      <c r="B30" s="49"/>
      <c r="C30" s="49"/>
      <c r="D30" s="49"/>
      <c r="E30" s="49"/>
      <c r="F30" s="49"/>
      <c r="G30" s="49"/>
      <c r="H30" s="49"/>
      <c r="I30" s="49"/>
      <c r="J30" s="49"/>
      <c r="K30" s="49"/>
      <c r="L30" s="49"/>
      <c r="M30" s="49"/>
    </row>
    <row r="31" spans="1:13" ht="17.25" customHeight="1" x14ac:dyDescent="0.25">
      <c r="A31" s="2016" t="s">
        <v>23</v>
      </c>
      <c r="B31" s="2016"/>
      <c r="C31" s="2016"/>
      <c r="D31" s="2016"/>
      <c r="E31" s="2016"/>
      <c r="F31" s="2016"/>
      <c r="G31" s="2016"/>
      <c r="H31" s="2016"/>
      <c r="I31" s="2016"/>
      <c r="J31" s="2016"/>
      <c r="K31" s="2016"/>
      <c r="L31" s="2016"/>
      <c r="M31" s="2016"/>
    </row>
    <row r="32" spans="1:13" x14ac:dyDescent="0.25">
      <c r="A32" s="50"/>
      <c r="B32" s="642"/>
      <c r="C32" s="49"/>
      <c r="D32" s="49"/>
      <c r="E32" s="49"/>
      <c r="F32" s="49"/>
      <c r="G32" s="49"/>
      <c r="H32" s="49"/>
      <c r="I32" s="49"/>
      <c r="J32" s="49"/>
      <c r="K32" s="49"/>
      <c r="L32" s="49"/>
      <c r="M32" s="49"/>
    </row>
    <row r="33" spans="1:13" x14ac:dyDescent="0.25">
      <c r="A33" s="50"/>
      <c r="B33" s="642" t="s">
        <v>1805</v>
      </c>
      <c r="C33" s="49"/>
      <c r="D33" s="49"/>
      <c r="E33" s="49"/>
      <c r="F33" s="49"/>
      <c r="G33" s="49"/>
      <c r="H33" s="49"/>
      <c r="I33" s="49"/>
      <c r="J33" s="49"/>
      <c r="K33" s="49"/>
      <c r="L33" s="49"/>
      <c r="M33" s="49"/>
    </row>
    <row r="34" spans="1:13" ht="18.75" customHeight="1" x14ac:dyDescent="0.25">
      <c r="A34" s="50"/>
      <c r="B34" s="642"/>
      <c r="C34" s="49"/>
      <c r="D34" s="49"/>
      <c r="E34" s="49"/>
      <c r="F34" s="49"/>
      <c r="G34" s="49"/>
      <c r="H34" s="49"/>
      <c r="I34" s="49"/>
      <c r="J34" s="49"/>
      <c r="K34" s="49"/>
      <c r="L34" s="49"/>
      <c r="M34" s="49"/>
    </row>
    <row r="35" spans="1:13" x14ac:dyDescent="0.25">
      <c r="A35" s="50"/>
      <c r="B35" s="1023" t="s">
        <v>1800</v>
      </c>
      <c r="C35" s="49"/>
      <c r="D35" s="49"/>
      <c r="E35" s="49"/>
      <c r="F35" s="49"/>
      <c r="G35" s="49"/>
      <c r="H35" s="49"/>
      <c r="I35" s="49"/>
      <c r="J35" s="49"/>
      <c r="K35" s="49"/>
      <c r="L35" s="49"/>
      <c r="M35" s="49"/>
    </row>
    <row r="36" spans="1:13" ht="13.5" customHeight="1" x14ac:dyDescent="0.25">
      <c r="A36" s="50"/>
      <c r="B36" s="642"/>
      <c r="C36" s="49"/>
      <c r="D36" s="49"/>
      <c r="E36" s="49"/>
      <c r="F36" s="49"/>
      <c r="G36" s="49"/>
      <c r="H36" s="49"/>
      <c r="I36" s="49"/>
      <c r="J36" s="49"/>
      <c r="K36" s="49"/>
      <c r="L36" s="49"/>
      <c r="M36" s="49"/>
    </row>
    <row r="37" spans="1:13" ht="15" customHeight="1" x14ac:dyDescent="0.25">
      <c r="A37" s="50"/>
      <c r="B37" s="2110" t="s">
        <v>1801</v>
      </c>
      <c r="C37" s="2088" t="s">
        <v>1802</v>
      </c>
      <c r="D37" s="2088" t="s">
        <v>1803</v>
      </c>
      <c r="E37" s="2088" t="s">
        <v>1804</v>
      </c>
      <c r="F37" s="49"/>
      <c r="G37" s="50"/>
      <c r="H37" s="49"/>
      <c r="I37" s="49"/>
      <c r="J37" s="49"/>
      <c r="K37" s="49"/>
      <c r="L37" s="49"/>
      <c r="M37" s="49"/>
    </row>
    <row r="38" spans="1:13" x14ac:dyDescent="0.25">
      <c r="A38" s="50"/>
      <c r="B38" s="2111"/>
      <c r="C38" s="2089"/>
      <c r="D38" s="2089"/>
      <c r="E38" s="2089"/>
      <c r="F38" s="49"/>
      <c r="G38" s="50"/>
      <c r="H38" s="49"/>
      <c r="I38" s="49"/>
      <c r="J38" s="49"/>
      <c r="K38" s="49"/>
      <c r="L38" s="49"/>
      <c r="M38" s="49"/>
    </row>
    <row r="39" spans="1:13" ht="16.5" customHeight="1" x14ac:dyDescent="0.25">
      <c r="A39" s="50"/>
      <c r="B39" s="1271"/>
      <c r="C39" s="1271"/>
      <c r="D39" s="1271"/>
      <c r="E39" s="1024">
        <f>IFERROR(IF(D39&gt;=0.75*C39,C39,D39),"")</f>
        <v>0</v>
      </c>
      <c r="F39" s="49"/>
      <c r="G39" s="50"/>
      <c r="H39" s="49"/>
      <c r="I39" s="49"/>
      <c r="J39" s="49"/>
      <c r="K39" s="49"/>
      <c r="L39" s="49"/>
      <c r="M39" s="49"/>
    </row>
    <row r="40" spans="1:13" ht="16.5" customHeight="1" x14ac:dyDescent="0.25">
      <c r="A40" s="50"/>
      <c r="B40" s="1270"/>
      <c r="C40" s="1270"/>
      <c r="D40" s="1270"/>
      <c r="E40" s="1024">
        <f t="shared" ref="E40:E58" si="0">IFERROR(IF(D40&gt;=0.75*C40,C40,D40),"")</f>
        <v>0</v>
      </c>
      <c r="F40" s="49"/>
      <c r="G40" s="50"/>
      <c r="H40" s="49"/>
      <c r="I40" s="49"/>
      <c r="J40" s="49"/>
      <c r="K40" s="49"/>
      <c r="L40" s="49"/>
      <c r="M40" s="49"/>
    </row>
    <row r="41" spans="1:13" ht="16.5" customHeight="1" x14ac:dyDescent="0.25">
      <c r="A41" s="50"/>
      <c r="B41" s="1270"/>
      <c r="C41" s="1270"/>
      <c r="D41" s="1270"/>
      <c r="E41" s="1024">
        <f t="shared" si="0"/>
        <v>0</v>
      </c>
      <c r="F41" s="49"/>
      <c r="G41" s="50"/>
      <c r="H41" s="49"/>
      <c r="I41" s="49"/>
      <c r="J41" s="49"/>
      <c r="K41" s="49"/>
      <c r="L41" s="49"/>
      <c r="M41" s="49"/>
    </row>
    <row r="42" spans="1:13" ht="16.5" customHeight="1" x14ac:dyDescent="0.25">
      <c r="A42" s="50"/>
      <c r="B42" s="1270"/>
      <c r="C42" s="1270"/>
      <c r="D42" s="1270"/>
      <c r="E42" s="1024">
        <f t="shared" si="0"/>
        <v>0</v>
      </c>
      <c r="F42" s="49"/>
      <c r="G42" s="50"/>
      <c r="H42" s="49"/>
      <c r="I42" s="49"/>
      <c r="J42" s="49"/>
      <c r="K42" s="49"/>
      <c r="L42" s="49"/>
      <c r="M42" s="49"/>
    </row>
    <row r="43" spans="1:13" ht="16.5" customHeight="1" x14ac:dyDescent="0.25">
      <c r="A43" s="50"/>
      <c r="B43" s="1270"/>
      <c r="C43" s="1270"/>
      <c r="D43" s="1270"/>
      <c r="E43" s="1024">
        <f t="shared" si="0"/>
        <v>0</v>
      </c>
      <c r="F43" s="49"/>
      <c r="G43" s="50"/>
      <c r="H43" s="49"/>
      <c r="I43" s="49"/>
      <c r="J43" s="49"/>
      <c r="K43" s="49"/>
      <c r="L43" s="49"/>
      <c r="M43" s="49"/>
    </row>
    <row r="44" spans="1:13" ht="16.5" customHeight="1" x14ac:dyDescent="0.25">
      <c r="A44" s="50"/>
      <c r="B44" s="1270"/>
      <c r="C44" s="1270"/>
      <c r="D44" s="1270"/>
      <c r="E44" s="1024">
        <f t="shared" si="0"/>
        <v>0</v>
      </c>
      <c r="F44" s="49"/>
      <c r="G44" s="50"/>
      <c r="H44" s="49"/>
      <c r="I44" s="49"/>
      <c r="J44" s="49"/>
      <c r="K44" s="49"/>
      <c r="L44" s="49"/>
      <c r="M44" s="49"/>
    </row>
    <row r="45" spans="1:13" ht="16.5" customHeight="1" x14ac:dyDescent="0.25">
      <c r="A45" s="50"/>
      <c r="B45" s="1270"/>
      <c r="C45" s="1270"/>
      <c r="D45" s="1270"/>
      <c r="E45" s="1024">
        <f t="shared" si="0"/>
        <v>0</v>
      </c>
      <c r="F45" s="49"/>
      <c r="G45" s="50"/>
      <c r="H45" s="49"/>
      <c r="I45" s="49"/>
      <c r="J45" s="49"/>
      <c r="K45" s="49"/>
      <c r="L45" s="49"/>
      <c r="M45" s="49"/>
    </row>
    <row r="46" spans="1:13" ht="16.5" customHeight="1" x14ac:dyDescent="0.25">
      <c r="A46" s="50"/>
      <c r="B46" s="1270"/>
      <c r="C46" s="1270"/>
      <c r="D46" s="1270"/>
      <c r="E46" s="1024">
        <f t="shared" si="0"/>
        <v>0</v>
      </c>
      <c r="F46" s="49"/>
      <c r="G46" s="50"/>
      <c r="H46" s="49"/>
      <c r="I46" s="49"/>
      <c r="J46" s="49"/>
      <c r="K46" s="49"/>
      <c r="L46" s="49"/>
      <c r="M46" s="49"/>
    </row>
    <row r="47" spans="1:13" ht="16.5" customHeight="1" x14ac:dyDescent="0.25">
      <c r="A47" s="50"/>
      <c r="B47" s="1270"/>
      <c r="C47" s="1270"/>
      <c r="D47" s="1270"/>
      <c r="E47" s="1024">
        <f t="shared" si="0"/>
        <v>0</v>
      </c>
      <c r="F47" s="49"/>
      <c r="G47" s="50"/>
      <c r="H47" s="49"/>
      <c r="I47" s="49"/>
      <c r="J47" s="49"/>
      <c r="K47" s="49"/>
      <c r="L47" s="49"/>
      <c r="M47" s="49"/>
    </row>
    <row r="48" spans="1:13" ht="16.5" customHeight="1" x14ac:dyDescent="0.25">
      <c r="A48" s="50"/>
      <c r="B48" s="1270"/>
      <c r="C48" s="1270"/>
      <c r="D48" s="1270"/>
      <c r="E48" s="1024">
        <f t="shared" si="0"/>
        <v>0</v>
      </c>
      <c r="F48" s="49"/>
      <c r="G48" s="50"/>
      <c r="H48" s="49"/>
      <c r="I48" s="49"/>
      <c r="J48" s="49"/>
      <c r="K48" s="49"/>
      <c r="L48" s="49"/>
      <c r="M48" s="49"/>
    </row>
    <row r="49" spans="1:13" ht="16.5" customHeight="1" x14ac:dyDescent="0.25">
      <c r="A49" s="50"/>
      <c r="B49" s="952"/>
      <c r="C49" s="952"/>
      <c r="D49" s="952"/>
      <c r="E49" s="1024">
        <f t="shared" si="0"/>
        <v>0</v>
      </c>
      <c r="F49" s="49"/>
      <c r="G49" s="50"/>
      <c r="H49" s="49"/>
      <c r="I49" s="49"/>
      <c r="J49" s="49"/>
      <c r="K49" s="49"/>
      <c r="L49" s="49"/>
      <c r="M49" s="49"/>
    </row>
    <row r="50" spans="1:13" ht="16.5" customHeight="1" x14ac:dyDescent="0.25">
      <c r="A50" s="50"/>
      <c r="B50" s="952"/>
      <c r="C50" s="952"/>
      <c r="D50" s="952"/>
      <c r="E50" s="1024">
        <f t="shared" si="0"/>
        <v>0</v>
      </c>
      <c r="F50" s="49"/>
      <c r="G50" s="50"/>
      <c r="H50" s="49"/>
      <c r="I50" s="49"/>
      <c r="J50" s="49"/>
      <c r="K50" s="49"/>
      <c r="L50" s="49"/>
      <c r="M50" s="49"/>
    </row>
    <row r="51" spans="1:13" ht="16.5" customHeight="1" x14ac:dyDescent="0.25">
      <c r="A51" s="50"/>
      <c r="B51" s="952"/>
      <c r="C51" s="952"/>
      <c r="D51" s="952"/>
      <c r="E51" s="1024">
        <f t="shared" si="0"/>
        <v>0</v>
      </c>
      <c r="F51" s="49"/>
      <c r="G51" s="50"/>
      <c r="H51" s="49"/>
      <c r="I51" s="49"/>
      <c r="J51" s="49"/>
      <c r="K51" s="49"/>
      <c r="L51" s="49"/>
      <c r="M51" s="49"/>
    </row>
    <row r="52" spans="1:13" ht="16.5" customHeight="1" x14ac:dyDescent="0.25">
      <c r="A52" s="50"/>
      <c r="B52" s="952"/>
      <c r="C52" s="952"/>
      <c r="D52" s="952"/>
      <c r="E52" s="1024">
        <f t="shared" si="0"/>
        <v>0</v>
      </c>
      <c r="F52" s="49"/>
      <c r="G52" s="50"/>
      <c r="H52" s="49"/>
      <c r="I52" s="49"/>
      <c r="J52" s="49"/>
      <c r="K52" s="49"/>
      <c r="L52" s="49"/>
      <c r="M52" s="49"/>
    </row>
    <row r="53" spans="1:13" ht="16.5" customHeight="1" x14ac:dyDescent="0.25">
      <c r="A53" s="50"/>
      <c r="B53" s="952"/>
      <c r="C53" s="952"/>
      <c r="D53" s="952"/>
      <c r="E53" s="1024">
        <f t="shared" si="0"/>
        <v>0</v>
      </c>
      <c r="F53" s="49"/>
      <c r="G53" s="50"/>
      <c r="H53" s="49"/>
      <c r="I53" s="49"/>
      <c r="J53" s="49"/>
      <c r="K53" s="49"/>
      <c r="L53" s="49"/>
      <c r="M53" s="49"/>
    </row>
    <row r="54" spans="1:13" ht="16.5" customHeight="1" x14ac:dyDescent="0.25">
      <c r="A54" s="50"/>
      <c r="B54" s="952"/>
      <c r="C54" s="952"/>
      <c r="D54" s="952"/>
      <c r="E54" s="1024">
        <f t="shared" si="0"/>
        <v>0</v>
      </c>
      <c r="F54" s="49"/>
      <c r="G54" s="50"/>
      <c r="H54" s="49"/>
      <c r="I54" s="49"/>
      <c r="J54" s="49"/>
      <c r="K54" s="49"/>
      <c r="L54" s="49"/>
      <c r="M54" s="49"/>
    </row>
    <row r="55" spans="1:13" ht="16.5" customHeight="1" x14ac:dyDescent="0.25">
      <c r="A55" s="50"/>
      <c r="B55" s="952"/>
      <c r="C55" s="952"/>
      <c r="D55" s="952"/>
      <c r="E55" s="1024">
        <f t="shared" si="0"/>
        <v>0</v>
      </c>
      <c r="F55" s="49"/>
      <c r="G55" s="50"/>
      <c r="H55" s="49"/>
      <c r="I55" s="49"/>
      <c r="J55" s="49"/>
      <c r="K55" s="49"/>
      <c r="L55" s="49"/>
      <c r="M55" s="49"/>
    </row>
    <row r="56" spans="1:13" ht="16.5" customHeight="1" x14ac:dyDescent="0.25">
      <c r="A56" s="50"/>
      <c r="B56" s="952"/>
      <c r="C56" s="952"/>
      <c r="D56" s="952"/>
      <c r="E56" s="1024">
        <f t="shared" si="0"/>
        <v>0</v>
      </c>
      <c r="F56" s="49"/>
      <c r="G56" s="50"/>
      <c r="H56" s="49"/>
      <c r="I56" s="49"/>
      <c r="J56" s="49"/>
      <c r="K56" s="49"/>
      <c r="L56" s="49"/>
      <c r="M56" s="49"/>
    </row>
    <row r="57" spans="1:13" ht="16.5" customHeight="1" x14ac:dyDescent="0.25">
      <c r="A57" s="50"/>
      <c r="B57" s="952"/>
      <c r="C57" s="952"/>
      <c r="D57" s="952"/>
      <c r="E57" s="1024">
        <f t="shared" si="0"/>
        <v>0</v>
      </c>
      <c r="F57" s="49"/>
      <c r="G57" s="50"/>
      <c r="H57" s="49"/>
      <c r="I57" s="49"/>
      <c r="J57" s="49"/>
      <c r="K57" s="49"/>
      <c r="L57" s="49"/>
      <c r="M57" s="49"/>
    </row>
    <row r="58" spans="1:13" ht="16.5" customHeight="1" x14ac:dyDescent="0.25">
      <c r="A58" s="50"/>
      <c r="B58" s="952"/>
      <c r="C58" s="952"/>
      <c r="D58" s="952"/>
      <c r="E58" s="1024">
        <f t="shared" si="0"/>
        <v>0</v>
      </c>
      <c r="F58" s="49"/>
      <c r="G58" s="50"/>
      <c r="H58" s="49"/>
      <c r="I58" s="49"/>
      <c r="J58" s="49"/>
      <c r="K58" s="49"/>
      <c r="L58" s="49"/>
      <c r="M58" s="49"/>
    </row>
    <row r="59" spans="1:13" ht="16.5" customHeight="1" x14ac:dyDescent="0.25">
      <c r="A59" s="50"/>
      <c r="B59" s="50"/>
      <c r="C59" s="50"/>
      <c r="D59" s="50"/>
      <c r="E59" s="50"/>
      <c r="F59" s="50"/>
      <c r="G59" s="50"/>
      <c r="H59" s="50"/>
      <c r="I59" s="50"/>
      <c r="J59" s="50"/>
      <c r="K59" s="50"/>
      <c r="L59" s="50"/>
      <c r="M59" s="50"/>
    </row>
    <row r="60" spans="1:13" ht="19.5" customHeight="1" x14ac:dyDescent="0.25">
      <c r="A60" s="50"/>
      <c r="B60" s="2076" t="s">
        <v>1168</v>
      </c>
      <c r="C60" s="2078"/>
      <c r="D60" s="282">
        <f>SUM(E39:E58)</f>
        <v>0</v>
      </c>
      <c r="E60" s="50"/>
      <c r="F60" s="50"/>
      <c r="G60" s="50"/>
      <c r="H60" s="50"/>
      <c r="I60" s="50"/>
      <c r="J60" s="50"/>
      <c r="K60" s="50"/>
      <c r="L60" s="50"/>
      <c r="M60" s="50"/>
    </row>
    <row r="61" spans="1:13" ht="19.5" customHeight="1" x14ac:dyDescent="0.25">
      <c r="A61" s="50"/>
      <c r="B61" s="2076" t="s">
        <v>608</v>
      </c>
      <c r="C61" s="2078"/>
      <c r="D61" s="79">
        <f>IFERROR(D60/SUM(C39:C58),0)</f>
        <v>0</v>
      </c>
      <c r="E61" s="50"/>
      <c r="F61" s="50"/>
      <c r="G61" s="50"/>
      <c r="H61" s="50"/>
      <c r="I61" s="50"/>
      <c r="J61" s="50"/>
      <c r="K61" s="50"/>
      <c r="L61" s="50"/>
      <c r="M61" s="50"/>
    </row>
    <row r="62" spans="1:13" ht="19.5" customHeight="1" x14ac:dyDescent="0.25">
      <c r="A62" s="50"/>
      <c r="B62" s="50"/>
      <c r="C62" s="50"/>
      <c r="D62" s="50"/>
      <c r="E62" s="50"/>
      <c r="F62" s="50"/>
      <c r="G62" s="50"/>
      <c r="H62" s="50"/>
      <c r="I62" s="50"/>
      <c r="J62" s="50"/>
      <c r="K62" s="50"/>
      <c r="L62" s="50"/>
      <c r="M62" s="50"/>
    </row>
    <row r="63" spans="1:13" ht="17.25" customHeight="1" x14ac:dyDescent="0.25">
      <c r="A63" s="2016" t="s">
        <v>186</v>
      </c>
      <c r="B63" s="2016"/>
      <c r="C63" s="2016"/>
      <c r="D63" s="2016"/>
      <c r="E63" s="2016"/>
      <c r="F63" s="2016"/>
      <c r="G63" s="2016"/>
      <c r="H63" s="2016"/>
      <c r="I63" s="2016"/>
      <c r="J63" s="2016"/>
      <c r="K63" s="2016"/>
      <c r="L63" s="2016"/>
      <c r="M63" s="2016"/>
    </row>
    <row r="64" spans="1:13" ht="15.75" customHeight="1" x14ac:dyDescent="0.25">
      <c r="A64" s="50"/>
      <c r="B64" s="50"/>
      <c r="C64" s="50"/>
      <c r="D64" s="50"/>
      <c r="E64" s="50"/>
      <c r="F64" s="50"/>
      <c r="G64" s="50"/>
      <c r="H64" s="50"/>
      <c r="I64" s="50"/>
      <c r="J64" s="50"/>
      <c r="K64" s="50"/>
      <c r="L64" s="50"/>
      <c r="M64" s="50"/>
    </row>
    <row r="65" spans="1:16" ht="18" customHeight="1" x14ac:dyDescent="0.25">
      <c r="A65" s="50"/>
      <c r="B65" s="2035" t="s">
        <v>1739</v>
      </c>
      <c r="C65" s="2036"/>
      <c r="D65" s="2036"/>
      <c r="E65" s="2036"/>
      <c r="F65" s="2036"/>
      <c r="G65" s="1097" t="s">
        <v>1737</v>
      </c>
      <c r="H65" s="2030" t="s">
        <v>1738</v>
      </c>
      <c r="I65" s="2031"/>
      <c r="J65" s="50"/>
      <c r="K65" s="50"/>
      <c r="L65" s="50"/>
      <c r="M65" s="50"/>
    </row>
    <row r="66" spans="1:16" ht="24" customHeight="1" x14ac:dyDescent="0.25">
      <c r="A66" s="50"/>
      <c r="B66" s="1576" t="s">
        <v>1854</v>
      </c>
      <c r="C66" s="1577"/>
      <c r="D66" s="1577"/>
      <c r="E66" s="1577"/>
      <c r="F66" s="1577"/>
      <c r="G66" s="950" t="s">
        <v>124</v>
      </c>
      <c r="H66" s="1763"/>
      <c r="I66" s="1841"/>
      <c r="J66" s="50"/>
      <c r="K66" s="50"/>
      <c r="L66" s="50"/>
      <c r="M66" s="50"/>
    </row>
    <row r="67" spans="1:16" ht="24" customHeight="1" x14ac:dyDescent="0.25">
      <c r="A67" s="50"/>
      <c r="B67" s="1576" t="s">
        <v>1855</v>
      </c>
      <c r="C67" s="1577"/>
      <c r="D67" s="1577"/>
      <c r="E67" s="1577"/>
      <c r="F67" s="1577"/>
      <c r="G67" s="950" t="s">
        <v>124</v>
      </c>
      <c r="H67" s="1763"/>
      <c r="I67" s="1841"/>
      <c r="J67" s="50"/>
      <c r="K67" s="50"/>
      <c r="L67" s="50"/>
      <c r="M67" s="50"/>
    </row>
    <row r="68" spans="1:16" ht="24" customHeight="1" x14ac:dyDescent="0.25">
      <c r="A68" s="50"/>
      <c r="B68" s="1576" t="s">
        <v>2388</v>
      </c>
      <c r="C68" s="1577"/>
      <c r="D68" s="1577"/>
      <c r="E68" s="1577"/>
      <c r="F68" s="1577"/>
      <c r="G68" s="1237" t="s">
        <v>124</v>
      </c>
      <c r="H68" s="1763"/>
      <c r="I68" s="1841"/>
      <c r="J68" s="50"/>
      <c r="K68" s="50"/>
      <c r="L68" s="50"/>
      <c r="M68" s="50"/>
    </row>
    <row r="69" spans="1:16" s="607" customFormat="1" ht="19.5" customHeight="1" x14ac:dyDescent="0.25">
      <c r="A69" s="50"/>
      <c r="B69" s="50"/>
      <c r="C69" s="50"/>
      <c r="D69" s="50"/>
      <c r="E69" s="50"/>
      <c r="F69" s="50"/>
      <c r="G69" s="50"/>
      <c r="H69" s="50"/>
      <c r="I69" s="50"/>
      <c r="J69" s="50"/>
      <c r="K69" s="50"/>
      <c r="L69" s="50"/>
      <c r="M69" s="50"/>
      <c r="N69" s="50"/>
      <c r="O69" s="50"/>
    </row>
    <row r="70" spans="1:16" ht="17.25" customHeight="1" x14ac:dyDescent="0.25">
      <c r="A70" s="2016" t="s">
        <v>22</v>
      </c>
      <c r="B70" s="2016"/>
      <c r="C70" s="2016"/>
      <c r="D70" s="2016"/>
      <c r="E70" s="2016"/>
      <c r="F70" s="2016"/>
      <c r="G70" s="2016"/>
      <c r="H70" s="2016"/>
      <c r="I70" s="2016"/>
      <c r="J70" s="2016"/>
      <c r="K70" s="2016"/>
      <c r="L70" s="2016"/>
      <c r="M70" s="2016"/>
      <c r="N70"/>
      <c r="O70"/>
      <c r="P70"/>
    </row>
    <row r="71" spans="1:16" x14ac:dyDescent="0.25">
      <c r="A71" s="50"/>
      <c r="B71" s="50"/>
      <c r="C71" s="50"/>
      <c r="D71" s="50"/>
      <c r="E71" s="50"/>
      <c r="F71" s="50"/>
      <c r="G71" s="50"/>
      <c r="H71" s="50"/>
      <c r="I71" s="50"/>
      <c r="J71" s="50"/>
      <c r="K71" s="50"/>
      <c r="L71" s="50"/>
      <c r="M71" s="50"/>
      <c r="N71"/>
      <c r="O71"/>
      <c r="P71"/>
    </row>
    <row r="72" spans="1:16" ht="18" customHeight="1" x14ac:dyDescent="0.25">
      <c r="A72" s="50"/>
      <c r="B72" s="243" t="s">
        <v>53</v>
      </c>
      <c r="C72" s="1335">
        <f>IF(D61&gt;=0.8,2,IF(D61&gt;=0.6,1,0))</f>
        <v>0</v>
      </c>
      <c r="D72" s="50"/>
      <c r="E72" s="50"/>
      <c r="F72" s="50"/>
      <c r="G72" s="50"/>
      <c r="H72" s="50"/>
      <c r="I72" s="50"/>
      <c r="J72" s="50"/>
      <c r="K72" s="50"/>
      <c r="L72" s="50"/>
      <c r="M72" s="50"/>
      <c r="N72"/>
      <c r="O72"/>
      <c r="P72"/>
    </row>
    <row r="73" spans="1:16" ht="18" customHeight="1" x14ac:dyDescent="0.25">
      <c r="A73" s="50"/>
      <c r="B73" s="244" t="s">
        <v>492</v>
      </c>
      <c r="C73" s="1335" t="str">
        <f>IF(AND(COUNTIF(G66:G68,"Submitted")=3,C72&gt;0),"Yes","No")</f>
        <v>No</v>
      </c>
      <c r="D73" s="50"/>
      <c r="E73" s="50"/>
      <c r="F73" s="50"/>
      <c r="G73" s="50"/>
      <c r="H73" s="50"/>
      <c r="I73" s="50"/>
      <c r="J73" s="50"/>
      <c r="K73" s="50"/>
      <c r="L73" s="50"/>
      <c r="M73" s="50"/>
      <c r="N73"/>
      <c r="O73"/>
      <c r="P73"/>
    </row>
    <row r="74" spans="1:16" ht="21" customHeight="1" x14ac:dyDescent="0.25">
      <c r="A74" s="50"/>
      <c r="B74" s="50"/>
      <c r="C74" s="50"/>
      <c r="D74" s="50"/>
      <c r="E74" s="50"/>
      <c r="F74" s="50"/>
      <c r="G74" s="50"/>
      <c r="H74" s="50"/>
      <c r="I74" s="50"/>
      <c r="J74" s="50"/>
      <c r="K74" s="50"/>
      <c r="L74" s="50"/>
      <c r="M74" s="50"/>
      <c r="N74"/>
      <c r="O74"/>
      <c r="P74"/>
    </row>
    <row r="75" spans="1:16" ht="15" hidden="1" customHeight="1" x14ac:dyDescent="0.25"/>
    <row r="76" spans="1:16" ht="15" hidden="1" customHeight="1" x14ac:dyDescent="0.25"/>
    <row r="77" spans="1:16" ht="15" hidden="1" customHeight="1" x14ac:dyDescent="0.25"/>
    <row r="78" spans="1:16" ht="15" hidden="1" customHeight="1" x14ac:dyDescent="0.25"/>
    <row r="79" spans="1:16" ht="15" hidden="1" customHeight="1" x14ac:dyDescent="0.25"/>
    <row r="80" spans="1:16"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sheetData>
  <sheetProtection algorithmName="SHA-512" hashValue="v+lpuosEP+XN50iKokSod+FEfY/KqJ3ImRMwduoBEXebgzTJ5B7KHAQrL1BSiOFzuyX7SNhuEeMYpvpJu6wMIw==" saltValue="pHFArWg2amGyBDCBiKvroQ==" spinCount="100000" sheet="1" objects="1" scenarios="1"/>
  <mergeCells count="26">
    <mergeCell ref="A1:M1"/>
    <mergeCell ref="A5:M7"/>
    <mergeCell ref="A9:M9"/>
    <mergeCell ref="B11:F11"/>
    <mergeCell ref="B12:F12"/>
    <mergeCell ref="I2:K4"/>
    <mergeCell ref="C37:C38"/>
    <mergeCell ref="D37:D38"/>
    <mergeCell ref="E37:E38"/>
    <mergeCell ref="A14:M14"/>
    <mergeCell ref="A31:M31"/>
    <mergeCell ref="B28:J28"/>
    <mergeCell ref="B29:J29"/>
    <mergeCell ref="B37:B38"/>
    <mergeCell ref="A63:M63"/>
    <mergeCell ref="A70:M70"/>
    <mergeCell ref="B67:F67"/>
    <mergeCell ref="H67:I67"/>
    <mergeCell ref="B60:C60"/>
    <mergeCell ref="B61:C61"/>
    <mergeCell ref="B65:F65"/>
    <mergeCell ref="H65:I65"/>
    <mergeCell ref="B66:F66"/>
    <mergeCell ref="H66:I66"/>
    <mergeCell ref="B68:F68"/>
    <mergeCell ref="H68:I68"/>
  </mergeCells>
  <conditionalFormatting sqref="G66:I68">
    <cfRule type="expression" dxfId="115" priority="6">
      <formula>$B66="/"</formula>
    </cfRule>
    <cfRule type="expression" dxfId="114" priority="7">
      <formula>$B66="No evidence required at this submission stage"</formula>
    </cfRule>
  </conditionalFormatting>
  <conditionalFormatting sqref="B66">
    <cfRule type="expression" dxfId="113" priority="5">
      <formula>#REF!&lt;&gt;"Prescriptive Path"</formula>
    </cfRule>
  </conditionalFormatting>
  <conditionalFormatting sqref="B67">
    <cfRule type="expression" dxfId="112" priority="4">
      <formula>#REF!&lt;&gt;"Prescriptive Path"</formula>
    </cfRule>
  </conditionalFormatting>
  <conditionalFormatting sqref="H65:I65">
    <cfRule type="expression" dxfId="111" priority="2">
      <formula>#REF!&lt;&gt;"Prescriptive Path"</formula>
    </cfRule>
  </conditionalFormatting>
  <conditionalFormatting sqref="B68">
    <cfRule type="expression" dxfId="110" priority="1">
      <formula>#REF!&lt;&gt;"Prescriptive Path"</formula>
    </cfRule>
  </conditionalFormatting>
  <dataValidations count="1">
    <dataValidation type="list" allowBlank="1" showInputMessage="1" showErrorMessage="1" sqref="G66:G68" xr:uid="{00000000-0002-0000-2600-000000000000}">
      <formula1>"Select,Submitted,Not submitted"</formula1>
    </dataValidation>
  </dataValidations>
  <hyperlinks>
    <hyperlink ref="M2" location="'H-4 Low-VOC Emissions'!B3" tooltip="H-4" display="H-4" xr:uid="{00000000-0004-0000-2600-000000000000}"/>
    <hyperlink ref="M3" location="'H-5 Daylighting'!B3" tooltip="H-5" display="H-5" xr:uid="{00000000-0004-0000-2600-000001000000}"/>
    <hyperlink ref="L3" location="'H-2 Ventilation in wet areas'!E3" tooltip="H-2" display="H-2" xr:uid="{00000000-0004-0000-2600-000002000000}"/>
    <hyperlink ref="L2" location="'H-1 Fresh Air Supply'!B3" tooltip="H-1" display="H-1" xr:uid="{00000000-0004-0000-2600-000003000000}"/>
    <hyperlink ref="M4" location="'H&amp;C BPC'!D3" tooltip="BPC" display="BPC" xr:uid="{00000000-0004-0000-2600-000004000000}"/>
    <hyperlink ref="L4" location="'H-3 CO2 Monitoring'!B3" tooltip="H-3" display="H-3" xr:uid="{00000000-0004-0000-2600-000005000000}"/>
  </hyperlink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XFD127"/>
  <sheetViews>
    <sheetView showRowColHeaders="0" workbookViewId="0">
      <pane ySplit="5" topLeftCell="A6" activePane="bottomLeft" state="frozen"/>
      <selection activeCell="E12" sqref="E12:F12"/>
      <selection pane="bottomLeft" activeCell="J24" sqref="J24:K24"/>
    </sheetView>
  </sheetViews>
  <sheetFormatPr defaultColWidth="0" defaultRowHeight="15" zeroHeight="1" x14ac:dyDescent="0.25"/>
  <cols>
    <col min="1" max="1" width="4.5703125" style="274" customWidth="1"/>
    <col min="2" max="11" width="11.7109375" style="274" customWidth="1"/>
    <col min="12" max="16" width="9.42578125" style="274" customWidth="1"/>
    <col min="17" max="17" width="7" style="274" customWidth="1"/>
    <col min="18" max="16383" width="9.140625" style="274" hidden="1"/>
    <col min="16384" max="16384" width="0.28515625" style="274" hidden="1"/>
  </cols>
  <sheetData>
    <row r="1" spans="1:18 16384:16384" ht="30" customHeight="1" x14ac:dyDescent="0.25">
      <c r="A1" s="1371" t="s">
        <v>889</v>
      </c>
      <c r="B1" s="1372"/>
      <c r="C1" s="1372"/>
      <c r="D1" s="1372"/>
      <c r="E1" s="1372"/>
      <c r="F1" s="1372"/>
      <c r="G1" s="1372"/>
      <c r="H1" s="1372"/>
      <c r="I1" s="1372"/>
      <c r="J1" s="1369" t="s">
        <v>1045</v>
      </c>
      <c r="K1" s="1369"/>
      <c r="L1" s="1369"/>
      <c r="M1" s="1369"/>
      <c r="N1" s="1369"/>
      <c r="O1" s="1369"/>
      <c r="P1" s="1369"/>
      <c r="Q1" s="1369"/>
      <c r="R1" s="273"/>
      <c r="XFD1" s="752"/>
    </row>
    <row r="2" spans="1:18 16384:16384" ht="18.75" x14ac:dyDescent="0.3">
      <c r="A2" s="1001"/>
      <c r="B2" s="1370" t="s">
        <v>482</v>
      </c>
      <c r="C2" s="1370"/>
      <c r="D2" s="1370"/>
      <c r="E2" s="1370"/>
      <c r="F2" s="1001"/>
      <c r="G2" s="1001"/>
      <c r="H2" s="1001"/>
      <c r="I2" s="1001"/>
      <c r="J2" s="1368"/>
      <c r="K2" s="1368"/>
      <c r="L2" s="1004"/>
      <c r="M2" s="1004"/>
      <c r="N2" s="1001"/>
      <c r="O2" s="1001"/>
      <c r="P2" s="1000"/>
      <c r="Q2" s="1001"/>
      <c r="R2" s="273"/>
      <c r="XFD2" s="752"/>
    </row>
    <row r="3" spans="1:18 16384:16384" ht="18.75" x14ac:dyDescent="0.3">
      <c r="A3" s="1001"/>
      <c r="B3" s="1370" t="s">
        <v>890</v>
      </c>
      <c r="C3" s="1370"/>
      <c r="D3" s="1370"/>
      <c r="E3" s="1370"/>
      <c r="F3" s="1001"/>
      <c r="G3" s="1001"/>
      <c r="H3" s="1001"/>
      <c r="I3" s="1001"/>
      <c r="J3" s="1005"/>
      <c r="K3" s="1005"/>
      <c r="L3" s="1004"/>
      <c r="M3" s="1004"/>
      <c r="N3" s="1001"/>
      <c r="O3" s="1001"/>
      <c r="P3" s="1000"/>
      <c r="Q3" s="1001"/>
      <c r="R3" s="273"/>
      <c r="XFD3" s="752"/>
    </row>
    <row r="4" spans="1:18 16384:16384" ht="18.75" x14ac:dyDescent="0.3">
      <c r="A4" s="1001"/>
      <c r="B4" s="1370" t="s">
        <v>1092</v>
      </c>
      <c r="C4" s="1370"/>
      <c r="D4" s="1370"/>
      <c r="E4" s="1370"/>
      <c r="F4" s="1001"/>
      <c r="G4" s="1001"/>
      <c r="H4" s="1001"/>
      <c r="I4" s="1001"/>
      <c r="J4" s="1005"/>
      <c r="K4" s="1005"/>
      <c r="L4" s="1001"/>
      <c r="M4" s="1001"/>
      <c r="N4" s="1001"/>
      <c r="O4" s="1001"/>
      <c r="P4" s="1000"/>
      <c r="Q4" s="1001"/>
      <c r="R4" s="273"/>
      <c r="XFD4" s="752"/>
    </row>
    <row r="5" spans="1:18 16384:16384" ht="12" customHeight="1" x14ac:dyDescent="0.25">
      <c r="A5" s="1001"/>
      <c r="B5" s="1001"/>
      <c r="C5" s="1001"/>
      <c r="D5" s="1001"/>
      <c r="E5" s="1001"/>
      <c r="F5" s="1001"/>
      <c r="G5" s="1001"/>
      <c r="H5" s="1001"/>
      <c r="I5" s="1001"/>
      <c r="J5" s="1000"/>
      <c r="K5" s="1000"/>
      <c r="L5" s="1007"/>
      <c r="M5" s="1007"/>
      <c r="N5" s="1007"/>
      <c r="O5" s="1007"/>
      <c r="P5" s="1000"/>
      <c r="Q5" s="1001"/>
      <c r="R5" s="273"/>
      <c r="XFD5" s="752"/>
    </row>
    <row r="6" spans="1:18 16384:16384" ht="8.25" customHeight="1" x14ac:dyDescent="0.35">
      <c r="A6" s="617"/>
      <c r="B6" s="616"/>
      <c r="C6" s="911"/>
      <c r="D6" s="911"/>
      <c r="E6" s="911"/>
      <c r="F6" s="911"/>
      <c r="G6" s="617"/>
      <c r="H6" s="617"/>
      <c r="I6" s="617"/>
      <c r="J6" s="617"/>
      <c r="K6" s="617"/>
      <c r="L6" s="617"/>
      <c r="M6" s="617"/>
      <c r="N6" s="617"/>
      <c r="O6" s="617"/>
      <c r="P6" s="617"/>
      <c r="Q6" s="617"/>
      <c r="R6" s="273"/>
    </row>
    <row r="7" spans="1:18 16384:16384" ht="21" x14ac:dyDescent="0.35">
      <c r="A7" s="617"/>
      <c r="B7" s="1233" t="s">
        <v>482</v>
      </c>
      <c r="C7" s="911"/>
      <c r="D7" s="911"/>
      <c r="E7" s="911"/>
      <c r="F7" s="911"/>
      <c r="G7" s="617"/>
      <c r="H7" s="617"/>
      <c r="I7" s="617"/>
      <c r="J7" s="617"/>
      <c r="K7" s="617"/>
      <c r="L7" s="617"/>
      <c r="M7" s="617"/>
      <c r="N7" s="617"/>
      <c r="O7" s="617"/>
      <c r="P7" s="617"/>
      <c r="Q7" s="617"/>
      <c r="R7" s="273"/>
    </row>
    <row r="8" spans="1:18 16384:16384" ht="9" customHeight="1" x14ac:dyDescent="0.35">
      <c r="A8" s="617"/>
      <c r="B8" s="616"/>
      <c r="C8" s="911"/>
      <c r="D8" s="911"/>
      <c r="E8" s="911"/>
      <c r="F8" s="911"/>
      <c r="G8" s="617"/>
      <c r="H8" s="617"/>
      <c r="I8" s="617"/>
      <c r="J8" s="617"/>
      <c r="K8" s="617"/>
      <c r="L8" s="617"/>
      <c r="M8" s="617"/>
      <c r="N8" s="617"/>
      <c r="O8" s="617"/>
      <c r="P8" s="617"/>
      <c r="Q8" s="617"/>
      <c r="R8" s="273"/>
    </row>
    <row r="9" spans="1:18 16384:16384" ht="16.5" customHeight="1" x14ac:dyDescent="0.3">
      <c r="A9" s="617"/>
      <c r="B9" s="912" t="s">
        <v>1026</v>
      </c>
      <c r="C9" s="911"/>
      <c r="D9" s="911"/>
      <c r="E9" s="911"/>
      <c r="F9" s="911"/>
      <c r="G9" s="617"/>
      <c r="H9" s="617"/>
      <c r="I9" s="617"/>
      <c r="J9" s="617"/>
      <c r="K9" s="617"/>
      <c r="L9" s="617"/>
      <c r="M9" s="617"/>
      <c r="N9" s="617"/>
      <c r="O9" s="617"/>
      <c r="P9" s="617"/>
      <c r="Q9" s="617"/>
      <c r="R9" s="273"/>
    </row>
    <row r="10" spans="1:18 16384:16384" ht="16.5" customHeight="1" x14ac:dyDescent="0.3">
      <c r="A10" s="617"/>
      <c r="B10" s="913" t="s">
        <v>2354</v>
      </c>
      <c r="C10" s="911"/>
      <c r="D10" s="911"/>
      <c r="E10" s="911"/>
      <c r="F10" s="911"/>
      <c r="G10" s="617"/>
      <c r="H10" s="617"/>
      <c r="I10" s="617"/>
      <c r="J10" s="617"/>
      <c r="K10" s="617"/>
      <c r="L10" s="617"/>
      <c r="M10" s="617"/>
      <c r="N10" s="617"/>
      <c r="O10" s="617"/>
      <c r="P10" s="617"/>
      <c r="Q10" s="617"/>
      <c r="R10" s="273"/>
    </row>
    <row r="11" spans="1:18 16384:16384" ht="16.5" customHeight="1" x14ac:dyDescent="0.3">
      <c r="A11" s="617"/>
      <c r="B11" s="913" t="s">
        <v>1027</v>
      </c>
      <c r="C11" s="911"/>
      <c r="D11" s="911"/>
      <c r="E11" s="911"/>
      <c r="F11" s="911"/>
      <c r="G11" s="617"/>
      <c r="H11" s="617"/>
      <c r="I11" s="617"/>
      <c r="J11" s="617"/>
      <c r="K11" s="617"/>
      <c r="L11" s="617"/>
      <c r="M11" s="617"/>
      <c r="N11" s="617"/>
      <c r="O11" s="617"/>
      <c r="P11" s="617"/>
      <c r="Q11" s="617"/>
      <c r="R11" s="273"/>
    </row>
    <row r="12" spans="1:18 16384:16384" ht="16.5" customHeight="1" x14ac:dyDescent="0.3">
      <c r="A12" s="617"/>
      <c r="B12" s="913" t="s">
        <v>1028</v>
      </c>
      <c r="C12" s="911"/>
      <c r="D12" s="911"/>
      <c r="E12" s="911"/>
      <c r="F12" s="911"/>
      <c r="G12" s="617"/>
      <c r="H12" s="617"/>
      <c r="I12" s="617"/>
      <c r="J12" s="617"/>
      <c r="K12" s="617"/>
      <c r="L12" s="617"/>
      <c r="M12" s="617"/>
      <c r="N12" s="617"/>
      <c r="O12" s="617"/>
      <c r="P12" s="617"/>
      <c r="Q12" s="617"/>
      <c r="R12" s="273"/>
    </row>
    <row r="13" spans="1:18 16384:16384" ht="16.5" customHeight="1" x14ac:dyDescent="0.3">
      <c r="A13" s="617"/>
      <c r="B13" s="913" t="s">
        <v>2355</v>
      </c>
      <c r="C13" s="911"/>
      <c r="D13" s="911"/>
      <c r="E13" s="911"/>
      <c r="F13" s="911"/>
      <c r="G13" s="617"/>
      <c r="H13" s="617"/>
      <c r="I13" s="617"/>
      <c r="J13" s="617"/>
      <c r="K13" s="617"/>
      <c r="L13" s="617"/>
      <c r="M13" s="617"/>
      <c r="N13" s="617"/>
      <c r="O13" s="617"/>
      <c r="P13" s="617"/>
      <c r="Q13" s="617"/>
      <c r="R13" s="273"/>
    </row>
    <row r="14" spans="1:18 16384:16384" ht="12" customHeight="1" x14ac:dyDescent="0.3">
      <c r="A14" s="617"/>
      <c r="B14" s="914"/>
      <c r="C14" s="911"/>
      <c r="D14" s="911"/>
      <c r="E14" s="911"/>
      <c r="F14" s="911"/>
      <c r="G14" s="617"/>
      <c r="H14" s="617"/>
      <c r="I14" s="617"/>
      <c r="J14" s="617"/>
      <c r="K14" s="617"/>
      <c r="L14" s="617"/>
      <c r="M14" s="617"/>
      <c r="N14" s="617"/>
      <c r="O14" s="617"/>
      <c r="P14" s="617"/>
      <c r="Q14" s="617"/>
      <c r="R14" s="273"/>
    </row>
    <row r="15" spans="1:18 16384:16384" ht="21" x14ac:dyDescent="0.35">
      <c r="A15" s="617"/>
      <c r="B15" s="1233" t="s">
        <v>1093</v>
      </c>
      <c r="C15" s="915"/>
      <c r="D15" s="915"/>
      <c r="E15" s="915"/>
      <c r="F15" s="915"/>
      <c r="G15" s="915"/>
      <c r="H15" s="617"/>
      <c r="I15" s="617"/>
      <c r="J15" s="617"/>
      <c r="K15" s="617"/>
      <c r="L15" s="617"/>
      <c r="M15" s="617"/>
      <c r="N15" s="617"/>
      <c r="O15" s="617"/>
      <c r="P15" s="617"/>
      <c r="Q15" s="617"/>
      <c r="R15" s="273"/>
    </row>
    <row r="16" spans="1:18 16384:16384" ht="9" customHeight="1" x14ac:dyDescent="0.3">
      <c r="A16" s="617"/>
      <c r="B16" s="916"/>
      <c r="C16" s="915"/>
      <c r="D16" s="915"/>
      <c r="E16" s="915"/>
      <c r="F16" s="915"/>
      <c r="G16" s="915"/>
      <c r="H16" s="617"/>
      <c r="I16" s="617"/>
      <c r="J16" s="617"/>
      <c r="K16" s="617"/>
      <c r="L16" s="617"/>
      <c r="M16" s="617"/>
      <c r="N16" s="617"/>
      <c r="O16" s="617"/>
      <c r="P16" s="617"/>
      <c r="Q16" s="617"/>
      <c r="R16" s="273"/>
    </row>
    <row r="17" spans="1:18" ht="15" customHeight="1" x14ac:dyDescent="0.25">
      <c r="A17" s="617"/>
      <c r="B17" s="1389" t="s">
        <v>1347</v>
      </c>
      <c r="C17" s="1390"/>
      <c r="D17" s="1390"/>
      <c r="E17" s="1390"/>
      <c r="F17" s="1390"/>
      <c r="G17" s="1390"/>
      <c r="H17" s="1390"/>
      <c r="I17" s="1390"/>
      <c r="J17" s="1390"/>
      <c r="K17" s="1391"/>
      <c r="L17" s="617"/>
      <c r="M17" s="617"/>
      <c r="N17" s="617"/>
      <c r="O17" s="617"/>
      <c r="P17" s="617"/>
      <c r="Q17" s="617"/>
      <c r="R17" s="273"/>
    </row>
    <row r="18" spans="1:18" ht="16.5" customHeight="1" x14ac:dyDescent="0.25">
      <c r="A18" s="617"/>
      <c r="B18" s="1380" t="s">
        <v>1029</v>
      </c>
      <c r="C18" s="1381"/>
      <c r="D18" s="1381"/>
      <c r="E18" s="1381"/>
      <c r="F18" s="1381"/>
      <c r="G18" s="1381"/>
      <c r="H18" s="1381"/>
      <c r="I18" s="1381"/>
      <c r="J18" s="1381"/>
      <c r="K18" s="1382"/>
      <c r="L18" s="617"/>
      <c r="M18" s="617"/>
      <c r="N18" s="617"/>
      <c r="O18" s="617"/>
      <c r="P18" s="617"/>
      <c r="Q18" s="617"/>
      <c r="R18" s="273"/>
    </row>
    <row r="19" spans="1:18" ht="16.5" customHeight="1" x14ac:dyDescent="0.25">
      <c r="A19" s="617"/>
      <c r="B19" s="1380" t="s">
        <v>1467</v>
      </c>
      <c r="C19" s="1381"/>
      <c r="D19" s="1381"/>
      <c r="E19" s="1381"/>
      <c r="F19" s="1381"/>
      <c r="G19" s="1381"/>
      <c r="H19" s="1381"/>
      <c r="I19" s="1381"/>
      <c r="J19" s="1381"/>
      <c r="K19" s="1382"/>
      <c r="L19" s="617"/>
      <c r="M19" s="617"/>
      <c r="N19" s="617"/>
      <c r="O19" s="617"/>
      <c r="P19" s="617"/>
      <c r="Q19" s="617"/>
      <c r="R19" s="273"/>
    </row>
    <row r="20" spans="1:18" ht="16.5" customHeight="1" x14ac:dyDescent="0.25">
      <c r="A20" s="617"/>
      <c r="B20" s="1380" t="s">
        <v>1468</v>
      </c>
      <c r="C20" s="1381"/>
      <c r="D20" s="1381"/>
      <c r="E20" s="1381"/>
      <c r="F20" s="1381"/>
      <c r="G20" s="1381"/>
      <c r="H20" s="1381"/>
      <c r="I20" s="1381"/>
      <c r="J20" s="1381"/>
      <c r="K20" s="1382"/>
      <c r="L20" s="617"/>
      <c r="M20" s="617"/>
      <c r="N20" s="617"/>
      <c r="O20" s="617"/>
      <c r="P20" s="617"/>
      <c r="Q20" s="617"/>
      <c r="R20" s="273"/>
    </row>
    <row r="21" spans="1:18" ht="16.5" customHeight="1" x14ac:dyDescent="0.25">
      <c r="A21" s="617"/>
      <c r="B21" s="1383" t="s">
        <v>2360</v>
      </c>
      <c r="C21" s="1384"/>
      <c r="D21" s="1384"/>
      <c r="E21" s="1384"/>
      <c r="F21" s="1384"/>
      <c r="G21" s="1384"/>
      <c r="H21" s="1384"/>
      <c r="I21" s="1384"/>
      <c r="J21" s="1384"/>
      <c r="K21" s="1385"/>
      <c r="L21" s="617"/>
      <c r="M21" s="617"/>
      <c r="N21" s="617"/>
      <c r="O21" s="617"/>
      <c r="P21" s="617"/>
      <c r="Q21" s="617"/>
      <c r="R21" s="273"/>
    </row>
    <row r="22" spans="1:18" ht="15" customHeight="1" x14ac:dyDescent="0.3">
      <c r="A22" s="617"/>
      <c r="B22" s="912"/>
      <c r="C22" s="911"/>
      <c r="D22" s="911"/>
      <c r="E22" s="911"/>
      <c r="F22" s="911"/>
      <c r="G22" s="617"/>
      <c r="H22" s="617"/>
      <c r="I22" s="617"/>
      <c r="J22" s="617"/>
      <c r="K22" s="617"/>
      <c r="L22" s="617"/>
      <c r="M22" s="617"/>
      <c r="N22" s="617"/>
      <c r="O22" s="617"/>
      <c r="P22" s="617"/>
      <c r="Q22" s="617"/>
      <c r="R22" s="273"/>
    </row>
    <row r="23" spans="1:18" ht="15" customHeight="1" x14ac:dyDescent="0.25">
      <c r="A23" s="617"/>
      <c r="B23" s="920" t="s">
        <v>1094</v>
      </c>
      <c r="C23" s="921"/>
      <c r="D23" s="922"/>
      <c r="E23" s="922"/>
      <c r="F23" s="922"/>
      <c r="G23" s="922"/>
      <c r="H23" s="922"/>
      <c r="I23" s="922"/>
      <c r="J23" s="922"/>
      <c r="K23" s="922"/>
      <c r="L23" s="617"/>
      <c r="M23" s="617"/>
      <c r="N23" s="617"/>
      <c r="O23" s="617"/>
      <c r="P23" s="617"/>
      <c r="Q23" s="617"/>
      <c r="R23" s="273"/>
    </row>
    <row r="24" spans="1:18" ht="18" customHeight="1" x14ac:dyDescent="0.25">
      <c r="A24" s="617"/>
      <c r="B24" s="1386" t="s">
        <v>1095</v>
      </c>
      <c r="C24" s="1387"/>
      <c r="D24" s="1387" t="s">
        <v>710</v>
      </c>
      <c r="E24" s="1387"/>
      <c r="F24" s="1387" t="s">
        <v>1096</v>
      </c>
      <c r="G24" s="1387" t="s">
        <v>1096</v>
      </c>
      <c r="H24" s="1387" t="s">
        <v>1097</v>
      </c>
      <c r="I24" s="1387" t="s">
        <v>1096</v>
      </c>
      <c r="J24" s="1387" t="s">
        <v>1098</v>
      </c>
      <c r="K24" s="1388"/>
      <c r="L24" s="617"/>
      <c r="M24" s="617"/>
      <c r="N24" s="617"/>
      <c r="O24" s="617"/>
      <c r="P24" s="617"/>
      <c r="Q24" s="617"/>
      <c r="R24" s="273"/>
    </row>
    <row r="25" spans="1:18" ht="42" customHeight="1" x14ac:dyDescent="0.25">
      <c r="A25" s="617"/>
      <c r="B25" s="1375"/>
      <c r="C25" s="1376"/>
      <c r="D25" s="1375"/>
      <c r="E25" s="1376"/>
      <c r="F25" s="1375"/>
      <c r="G25" s="1376"/>
      <c r="H25" s="1377"/>
      <c r="I25" s="1378"/>
      <c r="J25" s="1377"/>
      <c r="K25" s="1379"/>
      <c r="L25" s="617"/>
      <c r="M25" s="617"/>
      <c r="N25" s="617"/>
      <c r="O25" s="617"/>
      <c r="P25" s="617"/>
      <c r="Q25" s="617"/>
      <c r="R25" s="273"/>
    </row>
    <row r="26" spans="1:18" ht="15" customHeight="1" x14ac:dyDescent="0.3">
      <c r="A26" s="617"/>
      <c r="B26" s="912"/>
      <c r="C26" s="911"/>
      <c r="D26" s="911"/>
      <c r="E26" s="911"/>
      <c r="F26" s="911"/>
      <c r="G26" s="617"/>
      <c r="H26" s="617"/>
      <c r="I26" s="617"/>
      <c r="J26" s="617"/>
      <c r="K26" s="617"/>
      <c r="L26" s="617"/>
      <c r="M26" s="617"/>
      <c r="N26" s="617"/>
      <c r="O26" s="617"/>
      <c r="P26" s="617"/>
      <c r="Q26" s="617"/>
      <c r="R26" s="273"/>
    </row>
    <row r="27" spans="1:18" ht="15" customHeight="1" x14ac:dyDescent="0.3">
      <c r="A27" s="617"/>
      <c r="B27" s="912"/>
      <c r="C27" s="911"/>
      <c r="D27" s="911"/>
      <c r="E27" s="911"/>
      <c r="F27" s="911"/>
      <c r="G27" s="617"/>
      <c r="H27" s="617"/>
      <c r="I27" s="617"/>
      <c r="J27" s="617"/>
      <c r="K27" s="617"/>
      <c r="L27" s="617"/>
      <c r="M27" s="617"/>
      <c r="N27" s="617"/>
      <c r="O27" s="617"/>
      <c r="P27" s="617"/>
      <c r="Q27" s="617"/>
      <c r="R27" s="273"/>
    </row>
    <row r="28" spans="1:18" ht="15" customHeight="1" x14ac:dyDescent="0.3">
      <c r="A28" s="617"/>
      <c r="B28" s="912"/>
      <c r="C28" s="911"/>
      <c r="D28" s="911"/>
      <c r="E28" s="911"/>
      <c r="F28" s="911"/>
      <c r="G28" s="617"/>
      <c r="H28" s="617"/>
      <c r="I28" s="617"/>
      <c r="J28" s="617"/>
      <c r="K28" s="617"/>
      <c r="L28" s="617"/>
      <c r="M28" s="617"/>
      <c r="N28" s="617"/>
      <c r="O28" s="617"/>
      <c r="P28" s="617"/>
      <c r="Q28" s="617"/>
      <c r="R28" s="273"/>
    </row>
    <row r="29" spans="1:18" ht="15" customHeight="1" x14ac:dyDescent="0.3">
      <c r="A29" s="617"/>
      <c r="B29" s="912"/>
      <c r="C29" s="911"/>
      <c r="D29" s="911"/>
      <c r="E29" s="911"/>
      <c r="F29" s="911"/>
      <c r="G29" s="617"/>
      <c r="H29" s="617"/>
      <c r="I29" s="617"/>
      <c r="J29" s="617"/>
      <c r="K29" s="617"/>
      <c r="L29" s="617"/>
      <c r="M29" s="617"/>
      <c r="N29" s="617"/>
      <c r="O29" s="617"/>
      <c r="P29" s="617"/>
      <c r="Q29" s="617"/>
      <c r="R29" s="273"/>
    </row>
    <row r="30" spans="1:18" ht="15" customHeight="1" x14ac:dyDescent="0.3">
      <c r="A30" s="617"/>
      <c r="B30" s="912"/>
      <c r="C30" s="911"/>
      <c r="D30" s="911"/>
      <c r="E30" s="911"/>
      <c r="F30" s="911"/>
      <c r="G30" s="617"/>
      <c r="H30" s="617"/>
      <c r="I30" s="617"/>
      <c r="J30" s="617"/>
      <c r="K30" s="617"/>
      <c r="L30" s="617"/>
      <c r="M30" s="617"/>
      <c r="N30" s="617"/>
      <c r="O30" s="617"/>
      <c r="P30" s="617"/>
      <c r="Q30" s="617"/>
      <c r="R30" s="273"/>
    </row>
    <row r="31" spans="1:18" ht="15" customHeight="1" x14ac:dyDescent="0.3">
      <c r="A31" s="617"/>
      <c r="B31" s="912"/>
      <c r="C31" s="911"/>
      <c r="D31" s="911"/>
      <c r="E31" s="911"/>
      <c r="F31" s="911"/>
      <c r="G31" s="617"/>
      <c r="H31" s="617"/>
      <c r="I31" s="617"/>
      <c r="J31" s="617"/>
      <c r="K31" s="617"/>
      <c r="L31" s="617"/>
      <c r="M31" s="617"/>
      <c r="N31" s="617"/>
      <c r="O31" s="617"/>
      <c r="P31" s="617"/>
      <c r="Q31" s="617"/>
      <c r="R31" s="273"/>
    </row>
    <row r="32" spans="1:18" ht="15" customHeight="1" x14ac:dyDescent="0.3">
      <c r="A32" s="617"/>
      <c r="B32" s="912"/>
      <c r="C32" s="911"/>
      <c r="D32" s="911"/>
      <c r="E32" s="911"/>
      <c r="F32" s="911"/>
      <c r="G32" s="617"/>
      <c r="H32" s="617"/>
      <c r="I32" s="617"/>
      <c r="J32" s="617"/>
      <c r="K32" s="617"/>
      <c r="L32" s="617"/>
      <c r="M32" s="617"/>
      <c r="N32" s="617"/>
      <c r="O32" s="617"/>
      <c r="P32" s="617"/>
      <c r="Q32" s="617"/>
      <c r="R32" s="273"/>
    </row>
    <row r="33" spans="1:18" ht="15" customHeight="1" x14ac:dyDescent="0.3">
      <c r="A33" s="617"/>
      <c r="B33" s="912"/>
      <c r="C33" s="911"/>
      <c r="D33" s="911"/>
      <c r="E33" s="911"/>
      <c r="F33" s="911"/>
      <c r="G33" s="617"/>
      <c r="H33" s="617"/>
      <c r="I33" s="617"/>
      <c r="J33" s="617"/>
      <c r="K33" s="617"/>
      <c r="L33" s="617"/>
      <c r="M33" s="617"/>
      <c r="N33" s="617"/>
      <c r="O33" s="617"/>
      <c r="P33" s="617"/>
      <c r="Q33" s="617"/>
      <c r="R33" s="273"/>
    </row>
    <row r="34" spans="1:18" ht="15" customHeight="1" x14ac:dyDescent="0.3">
      <c r="A34" s="617"/>
      <c r="B34" s="912"/>
      <c r="C34" s="911"/>
      <c r="D34" s="911"/>
      <c r="E34" s="911"/>
      <c r="F34" s="911"/>
      <c r="G34" s="617"/>
      <c r="H34" s="617"/>
      <c r="I34" s="617"/>
      <c r="J34" s="617"/>
      <c r="K34" s="617"/>
      <c r="L34" s="617"/>
      <c r="M34" s="617"/>
      <c r="N34" s="617"/>
      <c r="O34" s="617"/>
      <c r="P34" s="617"/>
      <c r="Q34" s="617"/>
      <c r="R34" s="273"/>
    </row>
    <row r="35" spans="1:18" ht="15" customHeight="1" x14ac:dyDescent="0.3">
      <c r="A35" s="617"/>
      <c r="B35" s="912"/>
      <c r="C35" s="911"/>
      <c r="D35" s="911"/>
      <c r="E35" s="911"/>
      <c r="F35" s="911"/>
      <c r="G35" s="617"/>
      <c r="H35" s="617"/>
      <c r="I35" s="617"/>
      <c r="J35" s="617"/>
      <c r="K35" s="617"/>
      <c r="L35" s="617"/>
      <c r="M35" s="617"/>
      <c r="N35" s="617"/>
      <c r="O35" s="617"/>
      <c r="P35" s="617"/>
      <c r="Q35" s="617"/>
      <c r="R35" s="273"/>
    </row>
    <row r="36" spans="1:18" ht="15" customHeight="1" x14ac:dyDescent="0.3">
      <c r="A36" s="617"/>
      <c r="B36" s="912"/>
      <c r="C36" s="911"/>
      <c r="D36" s="911"/>
      <c r="E36" s="911"/>
      <c r="F36" s="911"/>
      <c r="G36" s="617"/>
      <c r="H36" s="617"/>
      <c r="I36" s="617"/>
      <c r="J36" s="617"/>
      <c r="K36" s="617"/>
      <c r="L36" s="617"/>
      <c r="M36" s="617"/>
      <c r="N36" s="617"/>
      <c r="O36" s="617"/>
      <c r="P36" s="617"/>
      <c r="Q36" s="617"/>
      <c r="R36" s="273"/>
    </row>
    <row r="37" spans="1:18" ht="15" customHeight="1" x14ac:dyDescent="0.3">
      <c r="A37" s="617"/>
      <c r="B37" s="912"/>
      <c r="C37" s="911"/>
      <c r="D37" s="911"/>
      <c r="E37" s="911"/>
      <c r="F37" s="911"/>
      <c r="G37" s="617"/>
      <c r="H37" s="617"/>
      <c r="I37" s="617"/>
      <c r="J37" s="617"/>
      <c r="K37" s="617"/>
      <c r="L37" s="617"/>
      <c r="M37" s="617"/>
      <c r="N37" s="617"/>
      <c r="O37" s="617"/>
      <c r="P37" s="617"/>
      <c r="Q37" s="617"/>
      <c r="R37" s="273"/>
    </row>
    <row r="38" spans="1:18" ht="15" customHeight="1" x14ac:dyDescent="0.3">
      <c r="A38" s="617"/>
      <c r="B38" s="912"/>
      <c r="C38" s="911"/>
      <c r="D38" s="911"/>
      <c r="E38" s="911"/>
      <c r="F38" s="911"/>
      <c r="G38" s="617"/>
      <c r="H38" s="617"/>
      <c r="I38" s="617"/>
      <c r="J38" s="617"/>
      <c r="K38" s="617"/>
      <c r="L38" s="617"/>
      <c r="M38" s="617"/>
      <c r="N38" s="617"/>
      <c r="O38" s="617"/>
      <c r="P38" s="617"/>
      <c r="Q38" s="617"/>
      <c r="R38" s="273"/>
    </row>
    <row r="39" spans="1:18" ht="15" customHeight="1" x14ac:dyDescent="0.3">
      <c r="A39" s="617"/>
      <c r="B39" s="912"/>
      <c r="C39" s="911"/>
      <c r="D39" s="911"/>
      <c r="E39" s="911"/>
      <c r="F39" s="911"/>
      <c r="G39" s="617"/>
      <c r="H39" s="617"/>
      <c r="I39" s="617"/>
      <c r="J39" s="617"/>
      <c r="K39" s="617"/>
      <c r="L39" s="617"/>
      <c r="M39" s="617"/>
      <c r="N39" s="617"/>
      <c r="O39" s="617"/>
      <c r="P39" s="617"/>
      <c r="Q39" s="617"/>
      <c r="R39" s="273"/>
    </row>
    <row r="40" spans="1:18" ht="15" customHeight="1" x14ac:dyDescent="0.3">
      <c r="A40" s="617"/>
      <c r="B40" s="912"/>
      <c r="C40" s="911"/>
      <c r="D40" s="911"/>
      <c r="E40" s="911"/>
      <c r="F40" s="911"/>
      <c r="G40" s="617"/>
      <c r="H40" s="617"/>
      <c r="I40" s="617"/>
      <c r="J40" s="617"/>
      <c r="K40" s="617"/>
      <c r="L40" s="617"/>
      <c r="M40" s="617"/>
      <c r="N40" s="617"/>
      <c r="O40" s="617"/>
      <c r="P40" s="617"/>
      <c r="Q40" s="617"/>
      <c r="R40" s="273"/>
    </row>
    <row r="41" spans="1:18" ht="15" customHeight="1" x14ac:dyDescent="0.3">
      <c r="A41" s="617"/>
      <c r="B41" s="912"/>
      <c r="C41" s="911"/>
      <c r="D41" s="911"/>
      <c r="E41" s="911"/>
      <c r="F41" s="911"/>
      <c r="G41" s="617"/>
      <c r="H41" s="617"/>
      <c r="I41" s="617"/>
      <c r="J41" s="617"/>
      <c r="K41" s="617"/>
      <c r="L41" s="617"/>
      <c r="M41" s="617"/>
      <c r="N41" s="617"/>
      <c r="O41" s="617"/>
      <c r="P41" s="617"/>
      <c r="Q41" s="617"/>
      <c r="R41" s="273"/>
    </row>
    <row r="42" spans="1:18" ht="15" customHeight="1" x14ac:dyDescent="0.3">
      <c r="A42" s="617"/>
      <c r="B42" s="912"/>
      <c r="C42" s="911"/>
      <c r="D42" s="911"/>
      <c r="E42" s="911"/>
      <c r="F42" s="911"/>
      <c r="G42" s="617"/>
      <c r="H42" s="617"/>
      <c r="I42" s="617"/>
      <c r="J42" s="617"/>
      <c r="K42" s="617"/>
      <c r="L42" s="617"/>
      <c r="M42" s="617"/>
      <c r="N42" s="617"/>
      <c r="O42" s="617"/>
      <c r="P42" s="617"/>
      <c r="Q42" s="617"/>
      <c r="R42" s="273"/>
    </row>
    <row r="43" spans="1:18" ht="15" customHeight="1" x14ac:dyDescent="0.3">
      <c r="A43" s="617"/>
      <c r="B43" s="912"/>
      <c r="C43" s="911"/>
      <c r="D43" s="911"/>
      <c r="E43" s="911"/>
      <c r="F43" s="911"/>
      <c r="G43" s="617"/>
      <c r="H43" s="617"/>
      <c r="I43" s="617"/>
      <c r="J43" s="617"/>
      <c r="K43" s="617"/>
      <c r="L43" s="617"/>
      <c r="M43" s="617"/>
      <c r="N43" s="617"/>
      <c r="O43" s="617"/>
      <c r="P43" s="617"/>
      <c r="Q43" s="617"/>
      <c r="R43" s="273"/>
    </row>
    <row r="44" spans="1:18" ht="15" customHeight="1" x14ac:dyDescent="0.3">
      <c r="A44" s="617"/>
      <c r="B44" s="912"/>
      <c r="C44" s="911"/>
      <c r="D44" s="911"/>
      <c r="E44" s="911"/>
      <c r="F44" s="911"/>
      <c r="G44" s="617"/>
      <c r="H44" s="617"/>
      <c r="I44" s="617"/>
      <c r="J44" s="617"/>
      <c r="K44" s="617"/>
      <c r="L44" s="617"/>
      <c r="M44" s="617"/>
      <c r="N44" s="617"/>
      <c r="O44" s="617"/>
      <c r="P44" s="617"/>
      <c r="Q44" s="617"/>
      <c r="R44" s="273"/>
    </row>
    <row r="45" spans="1:18" ht="15" customHeight="1" x14ac:dyDescent="0.3">
      <c r="A45" s="617"/>
      <c r="B45" s="912"/>
      <c r="C45" s="911"/>
      <c r="D45" s="911"/>
      <c r="E45" s="911"/>
      <c r="F45" s="911"/>
      <c r="G45" s="617"/>
      <c r="H45" s="617"/>
      <c r="I45" s="617"/>
      <c r="J45" s="617"/>
      <c r="K45" s="617"/>
      <c r="L45" s="617"/>
      <c r="M45" s="617"/>
      <c r="N45" s="617"/>
      <c r="O45" s="617"/>
      <c r="P45" s="617"/>
      <c r="Q45" s="617"/>
      <c r="R45" s="273"/>
    </row>
    <row r="46" spans="1:18" ht="15" customHeight="1" x14ac:dyDescent="0.3">
      <c r="A46" s="617"/>
      <c r="B46" s="912"/>
      <c r="C46" s="911"/>
      <c r="D46" s="911"/>
      <c r="E46" s="911"/>
      <c r="F46" s="911"/>
      <c r="G46" s="617"/>
      <c r="H46" s="617"/>
      <c r="I46" s="617"/>
      <c r="J46" s="617"/>
      <c r="K46" s="617"/>
      <c r="L46" s="617"/>
      <c r="M46" s="617"/>
      <c r="N46" s="617"/>
      <c r="O46" s="617"/>
      <c r="P46" s="617"/>
      <c r="Q46" s="617"/>
      <c r="R46" s="273"/>
    </row>
    <row r="47" spans="1:18" ht="15" customHeight="1" x14ac:dyDescent="0.3">
      <c r="A47" s="617"/>
      <c r="B47" s="912"/>
      <c r="C47" s="911"/>
      <c r="D47" s="911"/>
      <c r="E47" s="911"/>
      <c r="F47" s="911"/>
      <c r="G47" s="617"/>
      <c r="H47" s="617"/>
      <c r="I47" s="617"/>
      <c r="J47" s="617"/>
      <c r="K47" s="617"/>
      <c r="L47" s="617"/>
      <c r="M47" s="617"/>
      <c r="N47" s="617"/>
      <c r="O47" s="617"/>
      <c r="P47" s="617"/>
      <c r="Q47" s="617"/>
      <c r="R47" s="273"/>
    </row>
    <row r="48" spans="1:18" ht="15" customHeight="1" x14ac:dyDescent="0.3">
      <c r="A48" s="617"/>
      <c r="B48" s="912"/>
      <c r="C48" s="911"/>
      <c r="D48" s="911"/>
      <c r="E48" s="911"/>
      <c r="F48" s="911"/>
      <c r="G48" s="617"/>
      <c r="H48" s="617"/>
      <c r="I48" s="617"/>
      <c r="J48" s="617"/>
      <c r="K48" s="617"/>
      <c r="L48" s="617"/>
      <c r="M48" s="617"/>
      <c r="N48" s="617"/>
      <c r="O48" s="617"/>
      <c r="P48" s="617"/>
      <c r="Q48" s="617"/>
      <c r="R48" s="273"/>
    </row>
    <row r="49" spans="1:18" ht="15" customHeight="1" x14ac:dyDescent="0.3">
      <c r="A49" s="617"/>
      <c r="B49" s="912"/>
      <c r="C49" s="911"/>
      <c r="D49" s="911"/>
      <c r="E49" s="911"/>
      <c r="F49" s="911"/>
      <c r="G49" s="617"/>
      <c r="H49" s="617"/>
      <c r="I49" s="617"/>
      <c r="J49" s="617"/>
      <c r="K49" s="617"/>
      <c r="L49" s="617"/>
      <c r="M49" s="617"/>
      <c r="N49" s="617"/>
      <c r="O49" s="617"/>
      <c r="P49" s="617"/>
      <c r="Q49" s="617"/>
      <c r="R49" s="273"/>
    </row>
    <row r="50" spans="1:18" ht="15" customHeight="1" x14ac:dyDescent="0.3">
      <c r="A50" s="617"/>
      <c r="B50" s="912"/>
      <c r="C50" s="911"/>
      <c r="D50" s="911"/>
      <c r="E50" s="911"/>
      <c r="F50" s="911"/>
      <c r="G50" s="617"/>
      <c r="H50" s="617"/>
      <c r="I50" s="617"/>
      <c r="J50" s="617"/>
      <c r="K50" s="617"/>
      <c r="L50" s="617"/>
      <c r="M50" s="617"/>
      <c r="N50" s="617"/>
      <c r="O50" s="617"/>
      <c r="P50" s="617"/>
      <c r="Q50" s="617"/>
      <c r="R50" s="273"/>
    </row>
    <row r="51" spans="1:18" ht="15" customHeight="1" x14ac:dyDescent="0.3">
      <c r="A51" s="617"/>
      <c r="B51" s="912"/>
      <c r="C51" s="911"/>
      <c r="D51" s="911"/>
      <c r="E51" s="911"/>
      <c r="F51" s="911"/>
      <c r="G51" s="617"/>
      <c r="H51" s="617"/>
      <c r="I51" s="617"/>
      <c r="J51" s="617"/>
      <c r="K51" s="617"/>
      <c r="L51" s="617"/>
      <c r="M51" s="617"/>
      <c r="N51" s="617"/>
      <c r="O51" s="617"/>
      <c r="P51" s="617"/>
      <c r="Q51" s="617"/>
      <c r="R51" s="273"/>
    </row>
    <row r="52" spans="1:18" ht="15" customHeight="1" x14ac:dyDescent="0.3">
      <c r="A52" s="617"/>
      <c r="B52" s="912"/>
      <c r="C52" s="911"/>
      <c r="D52" s="911"/>
      <c r="E52" s="911"/>
      <c r="F52" s="911"/>
      <c r="G52" s="617"/>
      <c r="H52" s="617"/>
      <c r="I52" s="617"/>
      <c r="J52" s="617"/>
      <c r="K52" s="617"/>
      <c r="L52" s="617"/>
      <c r="M52" s="617"/>
      <c r="N52" s="617"/>
      <c r="O52" s="617"/>
      <c r="P52" s="617"/>
      <c r="Q52" s="617"/>
      <c r="R52" s="273"/>
    </row>
    <row r="53" spans="1:18" ht="15" customHeight="1" x14ac:dyDescent="0.3">
      <c r="A53" s="617"/>
      <c r="B53" s="912"/>
      <c r="C53" s="911"/>
      <c r="D53" s="911"/>
      <c r="E53" s="911"/>
      <c r="F53" s="911"/>
      <c r="G53" s="617"/>
      <c r="H53" s="617"/>
      <c r="I53" s="617"/>
      <c r="J53" s="617"/>
      <c r="K53" s="617"/>
      <c r="L53" s="617"/>
      <c r="M53" s="617"/>
      <c r="N53" s="617"/>
      <c r="O53" s="617"/>
      <c r="P53" s="617"/>
      <c r="Q53" s="617"/>
      <c r="R53" s="273"/>
    </row>
    <row r="54" spans="1:18" ht="15" customHeight="1" x14ac:dyDescent="0.3">
      <c r="A54" s="617"/>
      <c r="B54" s="912"/>
      <c r="C54" s="911"/>
      <c r="D54" s="911"/>
      <c r="E54" s="911"/>
      <c r="F54" s="911"/>
      <c r="G54" s="617"/>
      <c r="H54" s="617"/>
      <c r="I54" s="617"/>
      <c r="J54" s="617"/>
      <c r="K54" s="617"/>
      <c r="L54" s="617"/>
      <c r="M54" s="617"/>
      <c r="N54" s="617"/>
      <c r="O54" s="617"/>
      <c r="P54" s="617"/>
      <c r="Q54" s="617"/>
      <c r="R54" s="273"/>
    </row>
    <row r="55" spans="1:18" ht="15" customHeight="1" x14ac:dyDescent="0.3">
      <c r="A55" s="617"/>
      <c r="B55" s="912"/>
      <c r="C55" s="911"/>
      <c r="D55" s="911"/>
      <c r="E55" s="911"/>
      <c r="F55" s="911"/>
      <c r="G55" s="617"/>
      <c r="H55" s="617"/>
      <c r="I55" s="617"/>
      <c r="J55" s="617"/>
      <c r="K55" s="617"/>
      <c r="L55" s="617"/>
      <c r="M55" s="617"/>
      <c r="N55" s="617"/>
      <c r="O55" s="617"/>
      <c r="P55" s="617"/>
      <c r="Q55" s="617"/>
      <c r="R55" s="273"/>
    </row>
    <row r="56" spans="1:18" ht="15" customHeight="1" x14ac:dyDescent="0.3">
      <c r="A56" s="617"/>
      <c r="B56" s="912"/>
      <c r="C56" s="911"/>
      <c r="D56" s="911"/>
      <c r="E56" s="911"/>
      <c r="F56" s="911"/>
      <c r="G56" s="617"/>
      <c r="H56" s="617"/>
      <c r="I56" s="617"/>
      <c r="J56" s="617"/>
      <c r="K56" s="617"/>
      <c r="L56" s="617"/>
      <c r="M56" s="617"/>
      <c r="N56" s="617"/>
      <c r="O56" s="617"/>
      <c r="P56" s="617"/>
      <c r="Q56" s="617"/>
      <c r="R56" s="273"/>
    </row>
    <row r="57" spans="1:18" ht="15" customHeight="1" x14ac:dyDescent="0.3">
      <c r="A57" s="617"/>
      <c r="B57" s="912"/>
      <c r="C57" s="911"/>
      <c r="D57" s="911"/>
      <c r="E57" s="911"/>
      <c r="F57" s="911"/>
      <c r="G57" s="617"/>
      <c r="H57" s="617"/>
      <c r="I57" s="617"/>
      <c r="J57" s="617"/>
      <c r="K57" s="617"/>
      <c r="L57" s="617"/>
      <c r="M57" s="617"/>
      <c r="N57" s="617"/>
      <c r="O57" s="617"/>
      <c r="P57" s="617"/>
      <c r="Q57" s="617"/>
      <c r="R57" s="273"/>
    </row>
    <row r="58" spans="1:18" ht="15" customHeight="1" x14ac:dyDescent="0.3">
      <c r="A58" s="617"/>
      <c r="B58" s="912"/>
      <c r="C58" s="911"/>
      <c r="D58" s="911"/>
      <c r="E58" s="911"/>
      <c r="F58" s="911"/>
      <c r="G58" s="617"/>
      <c r="H58" s="617"/>
      <c r="I58" s="617"/>
      <c r="J58" s="617"/>
      <c r="K58" s="617"/>
      <c r="L58" s="617"/>
      <c r="M58" s="617"/>
      <c r="N58" s="617"/>
      <c r="O58" s="617"/>
      <c r="P58" s="617"/>
      <c r="Q58" s="617"/>
      <c r="R58" s="273"/>
    </row>
    <row r="59" spans="1:18" ht="15" customHeight="1" x14ac:dyDescent="0.3">
      <c r="A59" s="617"/>
      <c r="B59" s="912"/>
      <c r="C59" s="911"/>
      <c r="D59" s="911"/>
      <c r="E59" s="911"/>
      <c r="F59" s="911"/>
      <c r="G59" s="617"/>
      <c r="H59" s="617"/>
      <c r="I59" s="617"/>
      <c r="J59" s="617"/>
      <c r="K59" s="617"/>
      <c r="L59" s="617"/>
      <c r="M59" s="617"/>
      <c r="N59" s="617"/>
      <c r="O59" s="617"/>
      <c r="P59" s="617"/>
      <c r="Q59" s="617"/>
      <c r="R59" s="273"/>
    </row>
    <row r="60" spans="1:18" ht="15" customHeight="1" x14ac:dyDescent="0.3">
      <c r="A60" s="617"/>
      <c r="B60" s="912"/>
      <c r="C60" s="911"/>
      <c r="D60" s="911"/>
      <c r="E60" s="911"/>
      <c r="F60" s="911"/>
      <c r="G60" s="617"/>
      <c r="H60" s="617"/>
      <c r="I60" s="617"/>
      <c r="J60" s="617"/>
      <c r="K60" s="617"/>
      <c r="L60" s="617"/>
      <c r="M60" s="617"/>
      <c r="N60" s="617"/>
      <c r="O60" s="617"/>
      <c r="P60" s="617"/>
      <c r="Q60" s="617"/>
      <c r="R60" s="273"/>
    </row>
    <row r="61" spans="1:18" ht="15" customHeight="1" x14ac:dyDescent="0.3">
      <c r="A61" s="617"/>
      <c r="B61" s="912"/>
      <c r="C61" s="911"/>
      <c r="D61" s="911"/>
      <c r="E61" s="911"/>
      <c r="F61" s="911"/>
      <c r="G61" s="617"/>
      <c r="H61" s="617"/>
      <c r="I61" s="617"/>
      <c r="J61" s="617"/>
      <c r="K61" s="617"/>
      <c r="L61" s="617"/>
      <c r="M61" s="617"/>
      <c r="N61" s="617"/>
      <c r="O61" s="617"/>
      <c r="P61" s="617"/>
      <c r="Q61" s="617"/>
      <c r="R61" s="273"/>
    </row>
    <row r="62" spans="1:18" ht="15" customHeight="1" x14ac:dyDescent="0.3">
      <c r="A62" s="617"/>
      <c r="B62" s="912"/>
      <c r="C62" s="911"/>
      <c r="D62" s="911"/>
      <c r="E62" s="911"/>
      <c r="F62" s="911"/>
      <c r="G62" s="617"/>
      <c r="H62" s="617"/>
      <c r="I62" s="617"/>
      <c r="J62" s="617"/>
      <c r="K62" s="617"/>
      <c r="L62" s="617"/>
      <c r="M62" s="617"/>
      <c r="N62" s="617"/>
      <c r="O62" s="617"/>
      <c r="P62" s="617"/>
      <c r="Q62" s="617"/>
      <c r="R62" s="273"/>
    </row>
    <row r="63" spans="1:18" ht="15" customHeight="1" x14ac:dyDescent="0.3">
      <c r="A63" s="617"/>
      <c r="B63" s="912"/>
      <c r="C63" s="911"/>
      <c r="D63" s="911"/>
      <c r="E63" s="911"/>
      <c r="F63" s="911"/>
      <c r="G63" s="617"/>
      <c r="H63" s="617"/>
      <c r="I63" s="617"/>
      <c r="J63" s="617"/>
      <c r="K63" s="617"/>
      <c r="L63" s="617"/>
      <c r="M63" s="617"/>
      <c r="N63" s="617"/>
      <c r="O63" s="617"/>
      <c r="P63" s="617"/>
      <c r="Q63" s="617"/>
      <c r="R63" s="273"/>
    </row>
    <row r="64" spans="1:18" ht="15" customHeight="1" x14ac:dyDescent="0.3">
      <c r="A64" s="617"/>
      <c r="B64" s="912"/>
      <c r="C64" s="911"/>
      <c r="D64" s="911"/>
      <c r="E64" s="911"/>
      <c r="F64" s="911"/>
      <c r="G64" s="617"/>
      <c r="H64" s="617"/>
      <c r="I64" s="617"/>
      <c r="J64" s="617"/>
      <c r="K64" s="617"/>
      <c r="L64" s="617"/>
      <c r="M64" s="617"/>
      <c r="N64" s="617"/>
      <c r="O64" s="617"/>
      <c r="P64" s="617"/>
      <c r="Q64" s="617"/>
      <c r="R64" s="273"/>
    </row>
    <row r="65" spans="1:18" ht="15" customHeight="1" x14ac:dyDescent="0.3">
      <c r="A65" s="617"/>
      <c r="B65" s="912"/>
      <c r="C65" s="911"/>
      <c r="D65" s="911"/>
      <c r="E65" s="911"/>
      <c r="F65" s="911"/>
      <c r="G65" s="617"/>
      <c r="H65" s="617"/>
      <c r="I65" s="617"/>
      <c r="J65" s="617"/>
      <c r="K65" s="617"/>
      <c r="L65" s="617"/>
      <c r="M65" s="617"/>
      <c r="N65" s="617"/>
      <c r="O65" s="617"/>
      <c r="P65" s="617"/>
      <c r="Q65" s="617"/>
      <c r="R65" s="273"/>
    </row>
    <row r="66" spans="1:18" ht="18.75" customHeight="1" x14ac:dyDescent="0.3">
      <c r="A66" s="617"/>
      <c r="B66" s="1392"/>
      <c r="C66" s="1392"/>
      <c r="D66" s="1392"/>
      <c r="E66" s="1392"/>
      <c r="F66" s="911"/>
      <c r="G66" s="617"/>
      <c r="H66" s="617"/>
      <c r="I66" s="617"/>
      <c r="J66" s="617"/>
      <c r="K66" s="617"/>
      <c r="L66" s="617"/>
      <c r="M66" s="617"/>
      <c r="N66" s="617"/>
      <c r="O66" s="617"/>
      <c r="P66" s="617"/>
      <c r="Q66" s="617"/>
      <c r="R66" s="273"/>
    </row>
    <row r="67" spans="1:18" ht="15" customHeight="1" x14ac:dyDescent="0.3">
      <c r="A67" s="617"/>
      <c r="B67" s="917"/>
      <c r="C67" s="911"/>
      <c r="D67" s="911"/>
      <c r="E67" s="911"/>
      <c r="F67" s="911"/>
      <c r="G67" s="617"/>
      <c r="H67" s="617"/>
      <c r="I67" s="617"/>
      <c r="J67" s="617"/>
      <c r="K67" s="617"/>
      <c r="L67" s="617"/>
      <c r="M67" s="617"/>
      <c r="N67" s="617"/>
      <c r="O67" s="617"/>
      <c r="P67" s="617"/>
      <c r="Q67" s="617"/>
      <c r="R67" s="273"/>
    </row>
    <row r="68" spans="1:18" ht="15" customHeight="1" x14ac:dyDescent="0.3">
      <c r="A68" s="617"/>
      <c r="B68" s="912"/>
      <c r="C68" s="911"/>
      <c r="D68" s="911"/>
      <c r="E68" s="911"/>
      <c r="F68" s="911"/>
      <c r="G68" s="617"/>
      <c r="H68" s="617"/>
      <c r="I68" s="617"/>
      <c r="J68" s="617"/>
      <c r="K68" s="617"/>
      <c r="L68" s="617"/>
      <c r="M68" s="617"/>
      <c r="N68" s="617"/>
      <c r="O68" s="617"/>
      <c r="P68" s="617"/>
      <c r="Q68" s="617"/>
      <c r="R68" s="273"/>
    </row>
    <row r="69" spans="1:18" x14ac:dyDescent="0.25">
      <c r="A69" s="617"/>
      <c r="B69" s="917"/>
      <c r="C69" s="615"/>
      <c r="D69" s="615"/>
      <c r="E69" s="615"/>
      <c r="F69" s="615"/>
      <c r="G69" s="615"/>
      <c r="H69" s="615"/>
      <c r="I69" s="615"/>
      <c r="J69" s="615"/>
      <c r="K69" s="615"/>
      <c r="L69" s="615"/>
      <c r="M69" s="615"/>
      <c r="N69" s="615"/>
      <c r="O69" s="615"/>
      <c r="P69" s="615"/>
      <c r="Q69" s="615"/>
      <c r="R69" s="273"/>
    </row>
    <row r="70" spans="1:18" ht="21" x14ac:dyDescent="0.35">
      <c r="A70" s="617"/>
      <c r="B70" s="1233" t="s">
        <v>1092</v>
      </c>
      <c r="C70" s="615"/>
      <c r="D70" s="615"/>
      <c r="E70" s="615"/>
      <c r="F70" s="615"/>
      <c r="G70" s="615"/>
      <c r="H70" s="615"/>
      <c r="I70" s="615"/>
      <c r="J70" s="615"/>
      <c r="K70" s="615"/>
      <c r="L70" s="615"/>
      <c r="M70" s="615"/>
      <c r="N70" s="615"/>
      <c r="O70" s="615"/>
      <c r="P70" s="615"/>
      <c r="Q70" s="615"/>
      <c r="R70" s="273"/>
    </row>
    <row r="71" spans="1:18" ht="9" customHeight="1" x14ac:dyDescent="0.3">
      <c r="A71" s="617"/>
      <c r="B71" s="918"/>
      <c r="C71" s="615"/>
      <c r="D71" s="615"/>
      <c r="E71" s="615"/>
      <c r="F71" s="615"/>
      <c r="G71" s="615"/>
      <c r="H71" s="615"/>
      <c r="I71" s="615"/>
      <c r="J71" s="615"/>
      <c r="K71" s="615"/>
      <c r="L71" s="615"/>
      <c r="M71" s="615"/>
      <c r="N71" s="615"/>
      <c r="O71" s="615"/>
      <c r="P71" s="615"/>
      <c r="Q71" s="615"/>
      <c r="R71" s="273"/>
    </row>
    <row r="72" spans="1:18" ht="18.75" customHeight="1" x14ac:dyDescent="0.25">
      <c r="A72" s="617"/>
      <c r="B72" s="1374" t="s">
        <v>2361</v>
      </c>
      <c r="C72" s="1374"/>
      <c r="D72" s="1374"/>
      <c r="E72" s="1374"/>
      <c r="F72" s="1374"/>
      <c r="G72" s="1374"/>
      <c r="H72" s="1374"/>
      <c r="I72" s="1374"/>
      <c r="J72" s="1374"/>
      <c r="K72" s="917"/>
      <c r="L72" s="917"/>
      <c r="M72" s="917"/>
      <c r="N72" s="917"/>
      <c r="O72" s="917"/>
      <c r="P72" s="917"/>
      <c r="Q72" s="615"/>
      <c r="R72" s="273"/>
    </row>
    <row r="73" spans="1:18" x14ac:dyDescent="0.25">
      <c r="A73" s="617"/>
      <c r="B73" s="919"/>
      <c r="C73" s="919"/>
      <c r="D73" s="919"/>
      <c r="E73" s="919"/>
      <c r="F73" s="919"/>
      <c r="G73" s="919"/>
      <c r="H73" s="919"/>
      <c r="I73" s="919"/>
      <c r="J73" s="919"/>
      <c r="K73" s="919"/>
      <c r="L73" s="919"/>
      <c r="M73" s="919"/>
      <c r="N73" s="919"/>
      <c r="O73" s="919"/>
      <c r="P73" s="919"/>
      <c r="Q73" s="615"/>
      <c r="R73" s="273"/>
    </row>
    <row r="74" spans="1:18" hidden="1" x14ac:dyDescent="0.25"/>
    <row r="75" spans="1:18" hidden="1" x14ac:dyDescent="0.25"/>
    <row r="76" spans="1:18" hidden="1" x14ac:dyDescent="0.25"/>
    <row r="77" spans="1:18" hidden="1" x14ac:dyDescent="0.25"/>
    <row r="78" spans="1:18" hidden="1" x14ac:dyDescent="0.25"/>
    <row r="79" spans="1:18" hidden="1" x14ac:dyDescent="0.25"/>
    <row r="80" spans="1:18"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sheetData>
  <sheetProtection algorithmName="SHA-512" hashValue="CfKAWHvXJHugbgY6X8ssxGsrDQgJFY5GzGSNe5t+5Yjx1IaqxarOPyDBgATnNfzqPDQ0N7uqJ/jinM8RbQTLsQ==" saltValue="EScIy7W3ql9A1iTq2QZmaQ==" spinCount="100000" sheet="1" objects="1" scenarios="1"/>
  <mergeCells count="23">
    <mergeCell ref="J2:K2"/>
    <mergeCell ref="B17:K17"/>
    <mergeCell ref="A1:I1"/>
    <mergeCell ref="B66:E66"/>
    <mergeCell ref="B4:E4"/>
    <mergeCell ref="B2:E2"/>
    <mergeCell ref="B3:E3"/>
    <mergeCell ref="B72:J72"/>
    <mergeCell ref="J1:Q1"/>
    <mergeCell ref="B25:C25"/>
    <mergeCell ref="D25:E25"/>
    <mergeCell ref="F25:G25"/>
    <mergeCell ref="H25:I25"/>
    <mergeCell ref="J25:K25"/>
    <mergeCell ref="B18:K18"/>
    <mergeCell ref="B19:K19"/>
    <mergeCell ref="B20:K20"/>
    <mergeCell ref="B21:K21"/>
    <mergeCell ref="B24:C24"/>
    <mergeCell ref="D24:E24"/>
    <mergeCell ref="F24:G24"/>
    <mergeCell ref="H24:I24"/>
    <mergeCell ref="J24:K24"/>
  </mergeCells>
  <hyperlinks>
    <hyperlink ref="B3" location="Instructions!B16" tooltip="How to use this tool?" display="2. How to use this tool?" xr:uid="{00000000-0004-0000-0300-000000000000}"/>
    <hyperlink ref="B2" location="Instructions!B8" tooltip="General" display="1. General" xr:uid="{00000000-0004-0000-0300-000001000000}"/>
    <hyperlink ref="B3:E3" location="Instructions!B15" tooltip="How to use this Tool?" display="2. How to use this Tool?" xr:uid="{00000000-0004-0000-0300-000002000000}"/>
    <hyperlink ref="B4:E4" location="Instructions!B70" tooltip="Enquiries" display="3. Enquiries" xr:uid="{00000000-0004-0000-0300-000003000000}"/>
    <hyperlink ref="B2:E2" location="Instructions!B7" tooltip="General" display="1. General" xr:uid="{00000000-0004-0000-0300-000004000000}"/>
    <hyperlink ref="B72" r:id="rId1" xr:uid="{00000000-0004-0000-0300-000005000000}"/>
  </hyperlinks>
  <pageMargins left="0.7" right="0.7" top="0.75" bottom="0.75" header="0.3" footer="0.3"/>
  <pageSetup paperSize="9"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tabColor rgb="FF943634"/>
  </sheetPr>
  <dimension ref="A1:T378"/>
  <sheetViews>
    <sheetView showRowColHeaders="0" zoomScaleNormal="100" workbookViewId="0">
      <pane ySplit="7" topLeftCell="A8" activePane="bottomLeft" state="frozen"/>
      <selection pane="bottomLeft" activeCell="L4" sqref="L4"/>
    </sheetView>
  </sheetViews>
  <sheetFormatPr defaultColWidth="0" defaultRowHeight="15" customHeight="1" zeroHeight="1" x14ac:dyDescent="0.25"/>
  <cols>
    <col min="1" max="1" width="4.7109375" style="38" customWidth="1"/>
    <col min="2" max="3" width="18.28515625" style="38" customWidth="1"/>
    <col min="4" max="4" width="18.42578125" style="38" customWidth="1"/>
    <col min="5" max="5" width="19.7109375" style="38" customWidth="1"/>
    <col min="6" max="6" width="19.28515625" style="38" customWidth="1"/>
    <col min="7" max="7" width="18.5703125" style="38" customWidth="1"/>
    <col min="8" max="8" width="17.7109375" style="38" customWidth="1"/>
    <col min="9" max="9" width="16.85546875" style="38" customWidth="1"/>
    <col min="10" max="10" width="13" style="38" customWidth="1"/>
    <col min="11" max="12" width="8.7109375" style="38" customWidth="1"/>
    <col min="13" max="17" width="9.140625" style="38" hidden="1" customWidth="1"/>
    <col min="18" max="18" width="14.28515625" style="38" hidden="1" customWidth="1"/>
    <col min="19" max="16384" width="9.140625" style="38" hidden="1"/>
  </cols>
  <sheetData>
    <row r="1" spans="1:14" ht="23.25" x14ac:dyDescent="0.25">
      <c r="A1" s="2033" t="s">
        <v>655</v>
      </c>
      <c r="B1" s="2033"/>
      <c r="C1" s="2033"/>
      <c r="D1" s="2033"/>
      <c r="E1" s="2033"/>
      <c r="F1" s="2033"/>
      <c r="G1" s="2033"/>
      <c r="H1" s="2033"/>
      <c r="I1" s="2033"/>
      <c r="J1" s="2033"/>
      <c r="K1" s="2033"/>
      <c r="L1" s="2033"/>
    </row>
    <row r="2" spans="1:14" ht="15" customHeight="1" x14ac:dyDescent="0.25">
      <c r="A2" s="49"/>
      <c r="B2" s="50"/>
      <c r="C2" s="50"/>
      <c r="D2" s="50"/>
      <c r="E2" s="50"/>
      <c r="F2" s="49"/>
      <c r="G2" s="49"/>
      <c r="H2" s="49"/>
      <c r="I2" s="1822" t="s">
        <v>745</v>
      </c>
      <c r="J2" s="1822"/>
      <c r="K2" s="734" t="s">
        <v>80</v>
      </c>
      <c r="L2" s="734" t="s">
        <v>92</v>
      </c>
    </row>
    <row r="3" spans="1:14" ht="15" customHeight="1" x14ac:dyDescent="0.25">
      <c r="A3" s="49"/>
      <c r="B3" s="50"/>
      <c r="C3" s="50"/>
      <c r="D3" s="50"/>
      <c r="E3" s="50"/>
      <c r="F3" s="49"/>
      <c r="G3" s="49"/>
      <c r="H3" s="49"/>
      <c r="I3" s="1822"/>
      <c r="J3" s="1822"/>
      <c r="K3" s="734" t="s">
        <v>82</v>
      </c>
      <c r="L3" s="734" t="s">
        <v>729</v>
      </c>
    </row>
    <row r="4" spans="1:14" ht="15" customHeight="1" x14ac:dyDescent="0.25">
      <c r="A4" s="49"/>
      <c r="B4" s="50"/>
      <c r="C4" s="50"/>
      <c r="D4" s="50"/>
      <c r="E4" s="50"/>
      <c r="F4" s="49"/>
      <c r="G4" s="49"/>
      <c r="H4" s="49"/>
      <c r="I4" s="1822"/>
      <c r="J4" s="1822"/>
      <c r="K4" s="734" t="s">
        <v>87</v>
      </c>
      <c r="L4" s="734" t="s">
        <v>1788</v>
      </c>
    </row>
    <row r="5" spans="1:14" ht="18.75" customHeight="1" x14ac:dyDescent="0.25">
      <c r="A5" s="1600" t="s">
        <v>2653</v>
      </c>
      <c r="B5" s="1601"/>
      <c r="C5" s="1601"/>
      <c r="D5" s="1601"/>
      <c r="E5" s="1601"/>
      <c r="F5" s="1601"/>
      <c r="G5" s="1601"/>
      <c r="H5" s="1601"/>
      <c r="I5" s="1601"/>
      <c r="J5" s="1601"/>
      <c r="K5" s="1601"/>
      <c r="L5" s="1602"/>
    </row>
    <row r="6" spans="1:14" ht="18.75" customHeight="1" x14ac:dyDescent="0.25">
      <c r="A6" s="1606"/>
      <c r="B6" s="1607"/>
      <c r="C6" s="1607"/>
      <c r="D6" s="1607"/>
      <c r="E6" s="1607"/>
      <c r="F6" s="1607"/>
      <c r="G6" s="1607"/>
      <c r="H6" s="1607"/>
      <c r="I6" s="1607"/>
      <c r="J6" s="1607"/>
      <c r="K6" s="1607"/>
      <c r="L6" s="1608"/>
      <c r="M6" s="49"/>
      <c r="N6" s="49"/>
    </row>
    <row r="7" spans="1:14" ht="9.75" customHeight="1" x14ac:dyDescent="0.25">
      <c r="A7" s="785"/>
      <c r="B7" s="785"/>
      <c r="C7" s="785"/>
      <c r="D7" s="785"/>
      <c r="E7" s="785"/>
      <c r="F7" s="785"/>
      <c r="G7" s="785"/>
      <c r="H7" s="785"/>
      <c r="I7" s="785"/>
      <c r="J7" s="785"/>
      <c r="K7" s="785"/>
      <c r="L7" s="49"/>
      <c r="M7" s="49"/>
      <c r="N7" s="49"/>
    </row>
    <row r="8" spans="1:14" ht="18" customHeight="1" x14ac:dyDescent="0.25">
      <c r="A8" s="2016" t="s">
        <v>579</v>
      </c>
      <c r="B8" s="2016"/>
      <c r="C8" s="2016"/>
      <c r="D8" s="2016"/>
      <c r="E8" s="2016"/>
      <c r="F8" s="2016"/>
      <c r="G8" s="2016"/>
      <c r="H8" s="2016"/>
      <c r="I8" s="2016"/>
      <c r="J8" s="2016"/>
      <c r="K8" s="2016"/>
      <c r="L8" s="2016"/>
    </row>
    <row r="9" spans="1:14" x14ac:dyDescent="0.25">
      <c r="A9" s="49"/>
      <c r="B9" s="50"/>
      <c r="C9" s="50"/>
      <c r="D9" s="50"/>
      <c r="E9" s="50"/>
      <c r="F9" s="49"/>
      <c r="G9" s="49"/>
      <c r="H9" s="49"/>
      <c r="I9" s="49"/>
      <c r="J9" s="49"/>
      <c r="K9" s="49"/>
      <c r="L9" s="49"/>
    </row>
    <row r="10" spans="1:14" ht="21" customHeight="1" x14ac:dyDescent="0.25">
      <c r="A10" s="49"/>
      <c r="B10" s="2019" t="s">
        <v>178</v>
      </c>
      <c r="C10" s="2020"/>
      <c r="D10" s="2020"/>
      <c r="E10" s="2020"/>
      <c r="F10" s="583" t="s">
        <v>152</v>
      </c>
      <c r="G10" s="583" t="s">
        <v>53</v>
      </c>
      <c r="H10" s="51" t="s">
        <v>492</v>
      </c>
      <c r="I10" s="49"/>
      <c r="J10" s="49"/>
      <c r="K10" s="49"/>
      <c r="L10" s="49"/>
    </row>
    <row r="11" spans="1:14" ht="27.75" customHeight="1" x14ac:dyDescent="0.25">
      <c r="A11" s="49"/>
      <c r="B11" s="1791" t="s">
        <v>1873</v>
      </c>
      <c r="C11" s="1792" t="s">
        <v>129</v>
      </c>
      <c r="D11" s="1792" t="s">
        <v>129</v>
      </c>
      <c r="E11" s="1793" t="s">
        <v>129</v>
      </c>
      <c r="F11" s="294">
        <v>1</v>
      </c>
      <c r="G11" s="294">
        <f>C68</f>
        <v>0</v>
      </c>
      <c r="H11" s="294" t="str">
        <f>C69</f>
        <v>No</v>
      </c>
      <c r="I11" s="49"/>
      <c r="J11" s="49"/>
      <c r="K11" s="49"/>
      <c r="L11" s="49"/>
      <c r="M11" s="38" t="str">
        <f>IF(G11&lt;&gt;0,IF(H11="No","No","Yes"),"Yes")</f>
        <v>Yes</v>
      </c>
    </row>
    <row r="12" spans="1:14" ht="94.5" customHeight="1" x14ac:dyDescent="0.25">
      <c r="A12" s="49"/>
      <c r="B12" s="1791" t="s">
        <v>1806</v>
      </c>
      <c r="C12" s="1792" t="s">
        <v>128</v>
      </c>
      <c r="D12" s="1792" t="s">
        <v>128</v>
      </c>
      <c r="E12" s="1793" t="s">
        <v>128</v>
      </c>
      <c r="F12" s="294">
        <v>1</v>
      </c>
      <c r="G12" s="294">
        <f>IF(D73="Option A: Internal Noise Levels",C115,IF(D73="Option B: Reverberation Time",C162,0))</f>
        <v>0</v>
      </c>
      <c r="H12" s="294" t="str">
        <f>IF(D73="Option A: Internal Noise Levels",C116,IF(D73="Option B: Reverberation Time",C163,"No"))</f>
        <v>No</v>
      </c>
      <c r="I12" s="49"/>
      <c r="J12" s="49"/>
      <c r="K12" s="49"/>
      <c r="L12" s="49"/>
      <c r="M12" s="38" t="str">
        <f t="shared" ref="M12:M13" si="0">IF(G12&lt;&gt;0,IF(H12="No","No","Yes"),"Yes")</f>
        <v>Yes</v>
      </c>
    </row>
    <row r="13" spans="1:14" ht="30.75" customHeight="1" x14ac:dyDescent="0.25">
      <c r="A13" s="49"/>
      <c r="B13" s="1791" t="s">
        <v>2233</v>
      </c>
      <c r="C13" s="1792" t="s">
        <v>128</v>
      </c>
      <c r="D13" s="1792" t="s">
        <v>128</v>
      </c>
      <c r="E13" s="1793" t="s">
        <v>128</v>
      </c>
      <c r="F13" s="947">
        <v>1</v>
      </c>
      <c r="G13" s="947">
        <f>C245</f>
        <v>0</v>
      </c>
      <c r="H13" s="947" t="str">
        <f>C246</f>
        <v>No</v>
      </c>
      <c r="I13" s="49"/>
      <c r="J13" s="49"/>
      <c r="K13" s="49"/>
      <c r="L13" s="49"/>
      <c r="M13" s="38" t="str">
        <f t="shared" si="0"/>
        <v>Yes</v>
      </c>
    </row>
    <row r="14" spans="1:14" ht="19.5" customHeight="1" x14ac:dyDescent="0.25">
      <c r="A14" s="49"/>
      <c r="B14" s="1613" t="s">
        <v>79</v>
      </c>
      <c r="C14" s="1748"/>
      <c r="D14" s="1748"/>
      <c r="E14" s="1749"/>
      <c r="F14" s="631">
        <v>3</v>
      </c>
      <c r="G14" s="631">
        <f>MIN(3,SUM(G11:G13))</f>
        <v>0</v>
      </c>
      <c r="H14" s="631" t="str">
        <f>IF(COUNTIF(H11:H13,"No")=3,"No",IF(COUNTIF(M11:M13,"Yes")=3,"Yes","No"))</f>
        <v>No</v>
      </c>
      <c r="I14" s="49"/>
      <c r="J14" s="49"/>
      <c r="K14" s="49"/>
      <c r="L14" s="49"/>
    </row>
    <row r="15" spans="1:14" ht="18" customHeight="1" x14ac:dyDescent="0.25">
      <c r="A15" s="49"/>
      <c r="B15" s="50"/>
      <c r="C15" s="50"/>
      <c r="D15" s="50"/>
      <c r="E15" s="50"/>
      <c r="F15" s="49"/>
      <c r="G15" s="49"/>
      <c r="H15" s="49"/>
      <c r="I15" s="49"/>
      <c r="J15" s="49"/>
      <c r="K15" s="49"/>
      <c r="L15" s="49"/>
    </row>
    <row r="16" spans="1:14" ht="18" customHeight="1" x14ac:dyDescent="0.25">
      <c r="A16" s="2016" t="s">
        <v>1807</v>
      </c>
      <c r="B16" s="2016"/>
      <c r="C16" s="2016"/>
      <c r="D16" s="2016"/>
      <c r="E16" s="2016"/>
      <c r="F16" s="2016"/>
      <c r="G16" s="2016"/>
      <c r="H16" s="2016"/>
      <c r="I16" s="2016"/>
      <c r="J16" s="2016"/>
      <c r="K16" s="2016"/>
      <c r="L16" s="2016"/>
    </row>
    <row r="17" spans="1:19" x14ac:dyDescent="0.25">
      <c r="A17" s="49"/>
      <c r="B17" s="50"/>
      <c r="C17" s="50"/>
      <c r="D17" s="50"/>
      <c r="E17" s="49"/>
      <c r="F17" s="49"/>
      <c r="G17" s="49"/>
      <c r="H17" s="49"/>
      <c r="I17" s="49"/>
      <c r="J17" s="49"/>
      <c r="K17" s="49"/>
      <c r="L17" s="49"/>
    </row>
    <row r="18" spans="1:19" ht="16.5" customHeight="1" x14ac:dyDescent="0.25">
      <c r="A18" s="2068" t="s">
        <v>245</v>
      </c>
      <c r="B18" s="2068"/>
      <c r="C18" s="2068"/>
      <c r="D18" s="50"/>
      <c r="E18" s="49"/>
      <c r="F18" s="49"/>
      <c r="G18" s="49"/>
      <c r="H18" s="49"/>
      <c r="I18" s="49"/>
      <c r="J18" s="49"/>
      <c r="K18" s="49"/>
      <c r="L18" s="49"/>
    </row>
    <row r="19" spans="1:19" x14ac:dyDescent="0.25">
      <c r="A19" s="50"/>
      <c r="B19" s="50"/>
      <c r="C19" s="50"/>
      <c r="D19" s="50"/>
      <c r="E19" s="49"/>
      <c r="F19" s="49"/>
      <c r="G19" s="49"/>
      <c r="H19" s="49"/>
      <c r="I19" s="49"/>
      <c r="J19" s="49"/>
      <c r="K19" s="49"/>
      <c r="L19" s="49"/>
    </row>
    <row r="20" spans="1:19" x14ac:dyDescent="0.25">
      <c r="A20" s="49"/>
      <c r="B20" s="792" t="s">
        <v>2380</v>
      </c>
      <c r="C20" s="50"/>
      <c r="D20" s="50"/>
      <c r="E20" s="49"/>
      <c r="F20" s="49"/>
      <c r="G20" s="49"/>
      <c r="H20" s="49"/>
      <c r="I20" s="49"/>
      <c r="J20" s="49"/>
      <c r="K20" s="49"/>
      <c r="L20" s="49"/>
    </row>
    <row r="21" spans="1:19" ht="18" customHeight="1" x14ac:dyDescent="0.25">
      <c r="A21" s="49"/>
      <c r="B21" s="50"/>
      <c r="C21" s="50"/>
      <c r="D21" s="50"/>
      <c r="E21" s="49"/>
      <c r="F21" s="49"/>
      <c r="G21" s="49"/>
      <c r="H21" s="49"/>
      <c r="I21" s="49"/>
      <c r="J21" s="49"/>
      <c r="K21" s="49"/>
      <c r="L21" s="49"/>
    </row>
    <row r="22" spans="1:19" x14ac:dyDescent="0.25">
      <c r="A22" s="49"/>
      <c r="B22" s="566" t="s">
        <v>834</v>
      </c>
      <c r="C22" s="50"/>
      <c r="D22" s="50"/>
      <c r="E22" s="49"/>
      <c r="F22" s="49"/>
      <c r="G22" s="49"/>
      <c r="H22" s="49"/>
      <c r="I22" s="49"/>
      <c r="J22" s="49"/>
      <c r="K22" s="49"/>
      <c r="L22" s="49"/>
    </row>
    <row r="23" spans="1:19" ht="10.5" customHeight="1" x14ac:dyDescent="0.25">
      <c r="A23" s="49"/>
      <c r="B23" s="50"/>
      <c r="C23" s="50"/>
      <c r="D23" s="50"/>
      <c r="E23" s="49"/>
      <c r="F23" s="49"/>
      <c r="G23" s="49"/>
      <c r="H23" s="49"/>
      <c r="I23" s="49"/>
      <c r="J23" s="49"/>
      <c r="K23" s="49"/>
      <c r="L23" s="49"/>
    </row>
    <row r="24" spans="1:19" ht="9" customHeight="1" x14ac:dyDescent="0.25">
      <c r="A24" s="49"/>
      <c r="B24" s="50"/>
      <c r="C24" s="50"/>
      <c r="D24" s="50"/>
      <c r="E24" s="49"/>
      <c r="F24" s="49"/>
      <c r="G24" s="49"/>
      <c r="H24" s="49"/>
      <c r="I24" s="49"/>
      <c r="J24" s="49"/>
      <c r="K24" s="49"/>
      <c r="L24" s="49"/>
    </row>
    <row r="25" spans="1:19" ht="18" customHeight="1" x14ac:dyDescent="0.25">
      <c r="A25" s="49"/>
      <c r="B25" s="1063" t="s">
        <v>2379</v>
      </c>
      <c r="C25" s="1062"/>
      <c r="D25" s="1062"/>
      <c r="E25" s="1062"/>
      <c r="F25" s="49"/>
      <c r="G25" s="49"/>
      <c r="H25" s="49"/>
      <c r="I25" s="49"/>
      <c r="J25" s="49"/>
      <c r="K25" s="49"/>
      <c r="L25" s="49"/>
    </row>
    <row r="26" spans="1:19" ht="27" customHeight="1" x14ac:dyDescent="0.25">
      <c r="A26" s="49"/>
      <c r="B26" s="2149" t="s">
        <v>1857</v>
      </c>
      <c r="C26" s="2149"/>
      <c r="D26" s="1064" t="s">
        <v>1871</v>
      </c>
      <c r="E26" s="2146" t="s">
        <v>1858</v>
      </c>
      <c r="F26" s="2146"/>
      <c r="G26" s="2147"/>
      <c r="H26" s="49"/>
      <c r="I26" s="49"/>
      <c r="J26" s="49"/>
      <c r="K26" s="49"/>
      <c r="L26" s="49"/>
      <c r="M26" s="49"/>
    </row>
    <row r="27" spans="1:19" ht="15" customHeight="1" x14ac:dyDescent="0.25">
      <c r="A27" s="49"/>
      <c r="B27" s="2150" t="s">
        <v>1859</v>
      </c>
      <c r="C27" s="2151"/>
      <c r="D27" s="1065">
        <v>20</v>
      </c>
      <c r="E27" s="2148" t="s">
        <v>2100</v>
      </c>
      <c r="F27" s="2148"/>
      <c r="G27" s="2148"/>
      <c r="H27" s="49"/>
      <c r="I27" s="49"/>
      <c r="J27" s="49"/>
      <c r="K27" s="49"/>
      <c r="L27" s="49"/>
      <c r="M27" s="49"/>
      <c r="R27" s="1070" t="s">
        <v>1872</v>
      </c>
      <c r="S27" s="1065">
        <v>20</v>
      </c>
    </row>
    <row r="28" spans="1:19" ht="15" customHeight="1" x14ac:dyDescent="0.25">
      <c r="A28" s="49"/>
      <c r="B28" s="2152"/>
      <c r="C28" s="2153"/>
      <c r="D28" s="1065">
        <v>50</v>
      </c>
      <c r="E28" s="2148" t="s">
        <v>1862</v>
      </c>
      <c r="F28" s="2148"/>
      <c r="G28" s="2148"/>
      <c r="H28" s="49"/>
      <c r="I28" s="49"/>
      <c r="J28" s="49"/>
      <c r="K28" s="49"/>
      <c r="L28" s="49"/>
      <c r="M28" s="49"/>
      <c r="R28" s="1070" t="s">
        <v>1896</v>
      </c>
      <c r="S28" s="1065">
        <v>50</v>
      </c>
    </row>
    <row r="29" spans="1:19" ht="15" customHeight="1" x14ac:dyDescent="0.25">
      <c r="A29" s="49"/>
      <c r="B29" s="2152"/>
      <c r="C29" s="2153"/>
      <c r="D29" s="1065">
        <v>70</v>
      </c>
      <c r="E29" s="2148" t="s">
        <v>1863</v>
      </c>
      <c r="F29" s="2148"/>
      <c r="G29" s="2148"/>
      <c r="H29" s="49"/>
      <c r="I29" s="49"/>
      <c r="J29" s="49"/>
      <c r="K29" s="49"/>
      <c r="L29" s="49"/>
      <c r="M29" s="49"/>
      <c r="R29" s="1070" t="s">
        <v>1897</v>
      </c>
      <c r="S29" s="1065">
        <v>70</v>
      </c>
    </row>
    <row r="30" spans="1:19" ht="15" customHeight="1" x14ac:dyDescent="0.25">
      <c r="A30" s="49"/>
      <c r="B30" s="2152"/>
      <c r="C30" s="2153"/>
      <c r="D30" s="1065">
        <v>100</v>
      </c>
      <c r="E30" s="2148" t="s">
        <v>1864</v>
      </c>
      <c r="F30" s="2148"/>
      <c r="G30" s="2148"/>
      <c r="H30" s="49"/>
      <c r="I30" s="49"/>
      <c r="J30" s="49"/>
      <c r="K30" s="49"/>
      <c r="L30" s="49"/>
      <c r="M30" s="49"/>
      <c r="R30" s="1070" t="s">
        <v>1898</v>
      </c>
      <c r="S30" s="1065">
        <v>100</v>
      </c>
    </row>
    <row r="31" spans="1:19" ht="15" customHeight="1" x14ac:dyDescent="0.25">
      <c r="A31" s="49"/>
      <c r="B31" s="2154"/>
      <c r="C31" s="2155"/>
      <c r="D31" s="1065">
        <v>150</v>
      </c>
      <c r="E31" s="2148" t="s">
        <v>1865</v>
      </c>
      <c r="F31" s="2148"/>
      <c r="G31" s="2148"/>
      <c r="H31" s="49"/>
      <c r="I31" s="49"/>
      <c r="J31" s="49"/>
      <c r="K31" s="49"/>
      <c r="L31" s="49"/>
      <c r="M31" s="49"/>
      <c r="R31" s="1070" t="s">
        <v>1899</v>
      </c>
      <c r="S31" s="1065">
        <v>150</v>
      </c>
    </row>
    <row r="32" spans="1:19" ht="15" customHeight="1" x14ac:dyDescent="0.25">
      <c r="A32" s="49"/>
      <c r="B32" s="2150" t="s">
        <v>1860</v>
      </c>
      <c r="C32" s="2151"/>
      <c r="D32" s="1065">
        <v>200</v>
      </c>
      <c r="E32" s="2148" t="s">
        <v>1866</v>
      </c>
      <c r="F32" s="2148"/>
      <c r="G32" s="2148"/>
      <c r="H32" s="49"/>
      <c r="I32" s="49"/>
      <c r="J32" s="49"/>
      <c r="K32" s="49"/>
      <c r="L32" s="49"/>
      <c r="M32" s="49"/>
      <c r="R32" s="1070" t="s">
        <v>1900</v>
      </c>
      <c r="S32" s="1065">
        <v>200</v>
      </c>
    </row>
    <row r="33" spans="1:20" ht="27" customHeight="1" x14ac:dyDescent="0.25">
      <c r="A33" s="49"/>
      <c r="B33" s="2152"/>
      <c r="C33" s="2153"/>
      <c r="D33" s="1065">
        <v>300</v>
      </c>
      <c r="E33" s="2148" t="s">
        <v>1867</v>
      </c>
      <c r="F33" s="2148"/>
      <c r="G33" s="2148"/>
      <c r="H33" s="49"/>
      <c r="I33" s="49"/>
      <c r="J33" s="49"/>
      <c r="K33" s="49"/>
      <c r="L33" s="49"/>
      <c r="M33" s="49"/>
      <c r="R33" s="1070" t="s">
        <v>1901</v>
      </c>
      <c r="S33" s="1065">
        <v>300</v>
      </c>
    </row>
    <row r="34" spans="1:20" ht="27" customHeight="1" x14ac:dyDescent="0.25">
      <c r="A34" s="49"/>
      <c r="B34" s="2152"/>
      <c r="C34" s="2153"/>
      <c r="D34" s="1065">
        <v>450</v>
      </c>
      <c r="E34" s="2148" t="s">
        <v>1868</v>
      </c>
      <c r="F34" s="2148"/>
      <c r="G34" s="2148"/>
      <c r="H34" s="49"/>
      <c r="I34" s="49"/>
      <c r="J34" s="49"/>
      <c r="K34" s="49"/>
      <c r="L34" s="49"/>
      <c r="M34" s="49"/>
      <c r="R34" s="1070" t="s">
        <v>1902</v>
      </c>
      <c r="S34" s="1065">
        <v>450</v>
      </c>
    </row>
    <row r="35" spans="1:20" ht="40.5" customHeight="1" x14ac:dyDescent="0.25">
      <c r="A35" s="49"/>
      <c r="B35" s="2154"/>
      <c r="C35" s="2155"/>
      <c r="D35" s="1065">
        <v>1500</v>
      </c>
      <c r="E35" s="2148" t="s">
        <v>1869</v>
      </c>
      <c r="F35" s="2148"/>
      <c r="G35" s="2148"/>
      <c r="H35" s="49"/>
      <c r="I35" s="49"/>
      <c r="J35" s="49"/>
      <c r="K35" s="49"/>
      <c r="L35" s="49"/>
      <c r="M35" s="49"/>
      <c r="R35" s="1070" t="s">
        <v>1903</v>
      </c>
      <c r="S35" s="1065">
        <v>1500</v>
      </c>
    </row>
    <row r="36" spans="1:20" ht="28.5" customHeight="1" x14ac:dyDescent="0.25">
      <c r="A36" s="49"/>
      <c r="B36" s="2144" t="s">
        <v>1861</v>
      </c>
      <c r="C36" s="2145"/>
      <c r="D36" s="1065">
        <v>3000</v>
      </c>
      <c r="E36" s="2148" t="s">
        <v>1870</v>
      </c>
      <c r="F36" s="2148"/>
      <c r="G36" s="2148"/>
      <c r="H36" s="49"/>
      <c r="I36" s="49"/>
      <c r="J36" s="49"/>
      <c r="K36" s="49"/>
      <c r="L36" s="49"/>
      <c r="M36" s="49"/>
      <c r="R36" s="1070" t="s">
        <v>1904</v>
      </c>
      <c r="S36" s="1065">
        <v>3000</v>
      </c>
    </row>
    <row r="37" spans="1:20" ht="18" customHeight="1" x14ac:dyDescent="0.25">
      <c r="A37" s="49"/>
      <c r="B37" s="50"/>
      <c r="C37" s="50"/>
      <c r="D37" s="50"/>
      <c r="E37" s="49"/>
      <c r="F37" s="49"/>
      <c r="G37" s="49"/>
      <c r="H37" s="49"/>
      <c r="I37" s="49"/>
      <c r="J37" s="49"/>
      <c r="K37" s="49"/>
      <c r="L37" s="49"/>
    </row>
    <row r="38" spans="1:20" ht="16.5" customHeight="1" x14ac:dyDescent="0.25">
      <c r="A38" s="2068" t="s">
        <v>23</v>
      </c>
      <c r="B38" s="2068"/>
      <c r="C38" s="2068"/>
      <c r="D38" s="50"/>
      <c r="E38" s="49"/>
      <c r="F38" s="49"/>
      <c r="G38" s="49"/>
      <c r="H38" s="49"/>
      <c r="I38" s="49"/>
      <c r="J38" s="49"/>
      <c r="K38" s="49"/>
      <c r="L38" s="49"/>
    </row>
    <row r="39" spans="1:20" ht="16.5" customHeight="1" x14ac:dyDescent="0.25">
      <c r="A39" s="49"/>
      <c r="B39" s="50"/>
      <c r="C39" s="50"/>
      <c r="D39" s="50"/>
      <c r="E39" s="50"/>
      <c r="F39" s="49"/>
      <c r="G39" s="49"/>
      <c r="H39" s="49"/>
      <c r="I39" s="49"/>
      <c r="J39" s="49"/>
      <c r="K39" s="49"/>
      <c r="L39" s="49"/>
    </row>
    <row r="40" spans="1:20" ht="16.5" customHeight="1" x14ac:dyDescent="0.25">
      <c r="A40" s="49"/>
      <c r="B40" s="688" t="s">
        <v>1875</v>
      </c>
      <c r="C40" s="50"/>
      <c r="D40" s="50"/>
      <c r="E40" s="50"/>
      <c r="F40" s="49"/>
      <c r="G40" s="49"/>
      <c r="H40" s="49"/>
      <c r="I40" s="49"/>
      <c r="J40" s="49"/>
      <c r="K40" s="49"/>
      <c r="L40" s="49"/>
    </row>
    <row r="41" spans="1:20" ht="9.75" customHeight="1" x14ac:dyDescent="0.25">
      <c r="A41" s="49"/>
      <c r="B41" s="50"/>
      <c r="C41" s="50"/>
      <c r="D41" s="50"/>
      <c r="E41" s="50"/>
      <c r="F41" s="49"/>
      <c r="G41" s="49"/>
      <c r="H41" s="49"/>
      <c r="I41" s="49"/>
      <c r="J41" s="49"/>
      <c r="K41" s="49"/>
      <c r="L41" s="49"/>
    </row>
    <row r="42" spans="1:20" ht="28.5" customHeight="1" x14ac:dyDescent="0.25">
      <c r="A42" s="49"/>
      <c r="B42" s="400" t="s">
        <v>1874</v>
      </c>
      <c r="C42" s="401" t="s">
        <v>1857</v>
      </c>
      <c r="D42" s="1025" t="s">
        <v>1858</v>
      </c>
      <c r="E42" s="401" t="s">
        <v>40</v>
      </c>
      <c r="F42" s="401" t="s">
        <v>841</v>
      </c>
      <c r="G42" s="2046" t="s">
        <v>842</v>
      </c>
      <c r="H42" s="2046"/>
      <c r="I42" s="405" t="s">
        <v>843</v>
      </c>
      <c r="J42" s="797" t="s">
        <v>172</v>
      </c>
      <c r="K42" s="49"/>
      <c r="L42" s="49"/>
      <c r="M42" s="49"/>
      <c r="N42" s="49"/>
      <c r="O42" s="49"/>
    </row>
    <row r="43" spans="1:20" ht="16.5" customHeight="1" x14ac:dyDescent="0.25">
      <c r="A43" s="49"/>
      <c r="B43" s="790"/>
      <c r="C43" s="790" t="s">
        <v>124</v>
      </c>
      <c r="D43" s="984" t="s">
        <v>124</v>
      </c>
      <c r="E43" s="790"/>
      <c r="F43" s="791" t="str">
        <f>IFERROR(VLOOKUP(D43,$R$27:$S$36,2,FALSE)*E43,"")</f>
        <v/>
      </c>
      <c r="G43" s="2017"/>
      <c r="H43" s="2018"/>
      <c r="I43" s="790"/>
      <c r="J43" s="796" t="str">
        <f>IFERROR(IF(OR(F43="",E43=""),"",IF(I43&gt;=F43,"Yes","No")),"")</f>
        <v/>
      </c>
      <c r="K43" s="49"/>
      <c r="L43" s="49"/>
      <c r="M43" s="49"/>
      <c r="N43" s="49"/>
      <c r="O43" s="49" t="s">
        <v>124</v>
      </c>
      <c r="P43" s="38" t="str">
        <f>IF($C43="lighting purpose 1","Application 1.1",IF($C43="lighting purpose 2","Application 2.1",IF($C43="lighting purpose 3","Application 3.0","/")))</f>
        <v>/</v>
      </c>
      <c r="Q43" s="38" t="str">
        <f>IF($C43="lighting purpose 1","Application 1.2",IF($C43="lighting purpose 2","Application 2.2","/"))</f>
        <v>/</v>
      </c>
      <c r="R43" s="38" t="str">
        <f>IF($C43="lighting purpose 1","Application 1.3",IF($C43="lighting purpose 2","Application 2.3","/"))</f>
        <v>/</v>
      </c>
      <c r="S43" s="38" t="str">
        <f>IF($C43="lighting purpose 1","Application 1.4",IF($C43="lighting purpose 2","Application 2.4","/"))</f>
        <v>/</v>
      </c>
      <c r="T43" s="38" t="str">
        <f>IF($C43="lighting purpose 1","Application 1.5","/")</f>
        <v>/</v>
      </c>
    </row>
    <row r="44" spans="1:20" ht="16.5" customHeight="1" x14ac:dyDescent="0.25">
      <c r="A44" s="49"/>
      <c r="B44" s="790"/>
      <c r="C44" s="984" t="s">
        <v>124</v>
      </c>
      <c r="D44" s="984" t="s">
        <v>124</v>
      </c>
      <c r="E44" s="790"/>
      <c r="F44" s="985" t="str">
        <f t="shared" ref="F44:F56" si="1">IFERROR(VLOOKUP(D44,$R$27:$S$36,2,FALSE)*E44,"")</f>
        <v/>
      </c>
      <c r="G44" s="2017"/>
      <c r="H44" s="2018"/>
      <c r="I44" s="790"/>
      <c r="J44" s="796" t="str">
        <f t="shared" ref="J44:J56" si="2">IFERROR(IF(OR(F44="",E44=""),"",IF(I44&gt;=F44,"Yes","No")),"")</f>
        <v/>
      </c>
      <c r="K44" s="49"/>
      <c r="L44" s="49"/>
      <c r="M44" s="49"/>
      <c r="N44" s="49"/>
      <c r="O44" s="49" t="s">
        <v>124</v>
      </c>
      <c r="P44" s="38" t="str">
        <f t="shared" ref="P44:P56" si="3">IF($C44="lighting purpose 1","Application 1.1",IF($C44="lighting purpose 2","Application 2.1",IF($C44="lighting purpose 3","Application 3.0","/")))</f>
        <v>/</v>
      </c>
      <c r="Q44" s="38" t="str">
        <f t="shared" ref="Q44:Q56" si="4">IF($C44="lighting purpose 1","Application 1.2",IF($C44="lighting purpose 2","Application 2.2","/"))</f>
        <v>/</v>
      </c>
      <c r="R44" s="38" t="str">
        <f t="shared" ref="R44:R56" si="5">IF($C44="lighting purpose 1","Application 1.3",IF($C44="lighting purpose 2","Application 2.3","/"))</f>
        <v>/</v>
      </c>
      <c r="S44" s="38" t="str">
        <f t="shared" ref="S44:S56" si="6">IF($C44="lighting purpose 1","Application 1.4",IF($C44="lighting purpose 2","Application 2.4","/"))</f>
        <v>/</v>
      </c>
      <c r="T44" s="38" t="str">
        <f t="shared" ref="T44:T56" si="7">IF($C44="lighting purpose 1","Application 1.5","/")</f>
        <v>/</v>
      </c>
    </row>
    <row r="45" spans="1:20" ht="16.5" customHeight="1" x14ac:dyDescent="0.25">
      <c r="A45" s="49"/>
      <c r="B45" s="790"/>
      <c r="C45" s="984" t="s">
        <v>124</v>
      </c>
      <c r="D45" s="984" t="s">
        <v>124</v>
      </c>
      <c r="E45" s="790"/>
      <c r="F45" s="985" t="str">
        <f t="shared" si="1"/>
        <v/>
      </c>
      <c r="G45" s="2017"/>
      <c r="H45" s="2018"/>
      <c r="I45" s="790"/>
      <c r="J45" s="796" t="str">
        <f t="shared" si="2"/>
        <v/>
      </c>
      <c r="K45" s="49"/>
      <c r="L45" s="49"/>
      <c r="M45" s="49"/>
      <c r="N45" s="49"/>
      <c r="O45" s="49" t="s">
        <v>124</v>
      </c>
      <c r="P45" s="38" t="str">
        <f t="shared" si="3"/>
        <v>/</v>
      </c>
      <c r="Q45" s="38" t="str">
        <f t="shared" si="4"/>
        <v>/</v>
      </c>
      <c r="R45" s="38" t="str">
        <f t="shared" si="5"/>
        <v>/</v>
      </c>
      <c r="S45" s="38" t="str">
        <f t="shared" si="6"/>
        <v>/</v>
      </c>
      <c r="T45" s="38" t="str">
        <f t="shared" si="7"/>
        <v>/</v>
      </c>
    </row>
    <row r="46" spans="1:20" ht="16.5" customHeight="1" x14ac:dyDescent="0.25">
      <c r="A46" s="49"/>
      <c r="B46" s="790"/>
      <c r="C46" s="984" t="s">
        <v>124</v>
      </c>
      <c r="D46" s="984" t="s">
        <v>124</v>
      </c>
      <c r="E46" s="790"/>
      <c r="F46" s="985" t="str">
        <f t="shared" si="1"/>
        <v/>
      </c>
      <c r="G46" s="2017"/>
      <c r="H46" s="2018"/>
      <c r="I46" s="790"/>
      <c r="J46" s="796" t="str">
        <f t="shared" si="2"/>
        <v/>
      </c>
      <c r="K46" s="49"/>
      <c r="L46" s="49"/>
      <c r="M46" s="49"/>
      <c r="N46" s="49"/>
      <c r="O46" s="49" t="s">
        <v>124</v>
      </c>
      <c r="P46" s="38" t="str">
        <f t="shared" si="3"/>
        <v>/</v>
      </c>
      <c r="Q46" s="38" t="str">
        <f t="shared" si="4"/>
        <v>/</v>
      </c>
      <c r="R46" s="38" t="str">
        <f t="shared" si="5"/>
        <v>/</v>
      </c>
      <c r="S46" s="38" t="str">
        <f t="shared" si="6"/>
        <v>/</v>
      </c>
      <c r="T46" s="38" t="str">
        <f t="shared" si="7"/>
        <v>/</v>
      </c>
    </row>
    <row r="47" spans="1:20" ht="16.5" customHeight="1" x14ac:dyDescent="0.25">
      <c r="A47" s="49"/>
      <c r="B47" s="1095"/>
      <c r="C47" s="1095" t="s">
        <v>124</v>
      </c>
      <c r="D47" s="1095" t="s">
        <v>124</v>
      </c>
      <c r="E47" s="1095"/>
      <c r="F47" s="1098" t="str">
        <f t="shared" ref="F47:F50" si="8">IFERROR(VLOOKUP(D47,$R$27:$S$36,2,FALSE)*E47,"")</f>
        <v/>
      </c>
      <c r="G47" s="2017"/>
      <c r="H47" s="2018"/>
      <c r="I47" s="1095"/>
      <c r="J47" s="796" t="str">
        <f t="shared" ref="J47:J50" si="9">IFERROR(IF(OR(F47="",E47=""),"",IF(I47&gt;=F47,"Yes","No")),"")</f>
        <v/>
      </c>
      <c r="K47" s="49"/>
      <c r="L47" s="49"/>
      <c r="M47" s="49"/>
      <c r="N47" s="49"/>
      <c r="O47" s="49" t="s">
        <v>124</v>
      </c>
      <c r="P47" s="38" t="str">
        <f t="shared" si="3"/>
        <v>/</v>
      </c>
      <c r="Q47" s="38" t="str">
        <f t="shared" si="4"/>
        <v>/</v>
      </c>
      <c r="R47" s="38" t="str">
        <f t="shared" si="5"/>
        <v>/</v>
      </c>
      <c r="S47" s="38" t="str">
        <f t="shared" si="6"/>
        <v>/</v>
      </c>
      <c r="T47" s="38" t="str">
        <f t="shared" si="7"/>
        <v>/</v>
      </c>
    </row>
    <row r="48" spans="1:20" ht="16.5" customHeight="1" x14ac:dyDescent="0.25">
      <c r="A48" s="49"/>
      <c r="B48" s="1095"/>
      <c r="C48" s="1095" t="s">
        <v>124</v>
      </c>
      <c r="D48" s="1095" t="s">
        <v>124</v>
      </c>
      <c r="E48" s="1095"/>
      <c r="F48" s="1098" t="str">
        <f t="shared" si="8"/>
        <v/>
      </c>
      <c r="G48" s="2017"/>
      <c r="H48" s="2018"/>
      <c r="I48" s="1095"/>
      <c r="J48" s="796" t="str">
        <f t="shared" si="9"/>
        <v/>
      </c>
      <c r="K48" s="49"/>
      <c r="L48" s="49"/>
      <c r="M48" s="49"/>
      <c r="N48" s="49"/>
      <c r="O48" s="49" t="s">
        <v>124</v>
      </c>
      <c r="P48" s="38" t="str">
        <f t="shared" si="3"/>
        <v>/</v>
      </c>
      <c r="Q48" s="38" t="str">
        <f t="shared" si="4"/>
        <v>/</v>
      </c>
      <c r="R48" s="38" t="str">
        <f t="shared" si="5"/>
        <v>/</v>
      </c>
      <c r="S48" s="38" t="str">
        <f t="shared" si="6"/>
        <v>/</v>
      </c>
      <c r="T48" s="38" t="str">
        <f t="shared" si="7"/>
        <v>/</v>
      </c>
    </row>
    <row r="49" spans="1:20" ht="16.5" customHeight="1" x14ac:dyDescent="0.25">
      <c r="A49" s="49"/>
      <c r="B49" s="1095"/>
      <c r="C49" s="1095" t="s">
        <v>124</v>
      </c>
      <c r="D49" s="1095" t="s">
        <v>124</v>
      </c>
      <c r="E49" s="1095"/>
      <c r="F49" s="1098" t="str">
        <f t="shared" si="8"/>
        <v/>
      </c>
      <c r="G49" s="2017"/>
      <c r="H49" s="2018"/>
      <c r="I49" s="1095"/>
      <c r="J49" s="796" t="str">
        <f t="shared" si="9"/>
        <v/>
      </c>
      <c r="K49" s="49"/>
      <c r="L49" s="49"/>
      <c r="M49" s="49"/>
      <c r="N49" s="49"/>
      <c r="O49" s="49" t="s">
        <v>124</v>
      </c>
      <c r="P49" s="38" t="str">
        <f t="shared" si="3"/>
        <v>/</v>
      </c>
      <c r="Q49" s="38" t="str">
        <f t="shared" si="4"/>
        <v>/</v>
      </c>
      <c r="R49" s="38" t="str">
        <f t="shared" si="5"/>
        <v>/</v>
      </c>
      <c r="S49" s="38" t="str">
        <f t="shared" si="6"/>
        <v>/</v>
      </c>
      <c r="T49" s="38" t="str">
        <f t="shared" si="7"/>
        <v>/</v>
      </c>
    </row>
    <row r="50" spans="1:20" ht="16.5" customHeight="1" x14ac:dyDescent="0.25">
      <c r="A50" s="49"/>
      <c r="B50" s="1095"/>
      <c r="C50" s="1095" t="s">
        <v>124</v>
      </c>
      <c r="D50" s="1095" t="s">
        <v>124</v>
      </c>
      <c r="E50" s="1095"/>
      <c r="F50" s="1098" t="str">
        <f t="shared" si="8"/>
        <v/>
      </c>
      <c r="G50" s="2017"/>
      <c r="H50" s="2018"/>
      <c r="I50" s="1095"/>
      <c r="J50" s="796" t="str">
        <f t="shared" si="9"/>
        <v/>
      </c>
      <c r="K50" s="49"/>
      <c r="L50" s="49"/>
      <c r="M50" s="49"/>
      <c r="N50" s="49"/>
      <c r="O50" s="49" t="s">
        <v>124</v>
      </c>
      <c r="P50" s="38" t="str">
        <f t="shared" si="3"/>
        <v>/</v>
      </c>
      <c r="Q50" s="38" t="str">
        <f t="shared" si="4"/>
        <v>/</v>
      </c>
      <c r="R50" s="38" t="str">
        <f t="shared" si="5"/>
        <v>/</v>
      </c>
      <c r="S50" s="38" t="str">
        <f t="shared" si="6"/>
        <v>/</v>
      </c>
      <c r="T50" s="38" t="str">
        <f t="shared" si="7"/>
        <v>/</v>
      </c>
    </row>
    <row r="51" spans="1:20" ht="16.5" customHeight="1" x14ac:dyDescent="0.25">
      <c r="A51" s="49"/>
      <c r="B51" s="790"/>
      <c r="C51" s="984" t="s">
        <v>124</v>
      </c>
      <c r="D51" s="984" t="s">
        <v>124</v>
      </c>
      <c r="E51" s="790"/>
      <c r="F51" s="985" t="str">
        <f t="shared" si="1"/>
        <v/>
      </c>
      <c r="G51" s="2017"/>
      <c r="H51" s="2018"/>
      <c r="I51" s="790"/>
      <c r="J51" s="796" t="str">
        <f t="shared" si="2"/>
        <v/>
      </c>
      <c r="K51" s="49"/>
      <c r="L51" s="49"/>
      <c r="M51" s="49"/>
      <c r="N51" s="49"/>
      <c r="O51" s="49" t="s">
        <v>124</v>
      </c>
      <c r="P51" s="38" t="str">
        <f t="shared" si="3"/>
        <v>/</v>
      </c>
      <c r="Q51" s="38" t="str">
        <f t="shared" si="4"/>
        <v>/</v>
      </c>
      <c r="R51" s="38" t="str">
        <f t="shared" si="5"/>
        <v>/</v>
      </c>
      <c r="S51" s="38" t="str">
        <f t="shared" si="6"/>
        <v>/</v>
      </c>
      <c r="T51" s="38" t="str">
        <f t="shared" si="7"/>
        <v>/</v>
      </c>
    </row>
    <row r="52" spans="1:20" ht="16.5" customHeight="1" x14ac:dyDescent="0.25">
      <c r="A52" s="49"/>
      <c r="B52" s="790"/>
      <c r="C52" s="984" t="s">
        <v>124</v>
      </c>
      <c r="D52" s="984" t="s">
        <v>124</v>
      </c>
      <c r="E52" s="790"/>
      <c r="F52" s="985" t="str">
        <f t="shared" si="1"/>
        <v/>
      </c>
      <c r="G52" s="2017"/>
      <c r="H52" s="2018"/>
      <c r="I52" s="790"/>
      <c r="J52" s="796" t="str">
        <f t="shared" si="2"/>
        <v/>
      </c>
      <c r="K52" s="49"/>
      <c r="L52" s="49"/>
      <c r="M52" s="49"/>
      <c r="N52" s="49"/>
      <c r="O52" s="49" t="s">
        <v>124</v>
      </c>
      <c r="P52" s="38" t="str">
        <f t="shared" si="3"/>
        <v>/</v>
      </c>
      <c r="Q52" s="38" t="str">
        <f t="shared" si="4"/>
        <v>/</v>
      </c>
      <c r="R52" s="38" t="str">
        <f t="shared" si="5"/>
        <v>/</v>
      </c>
      <c r="S52" s="38" t="str">
        <f t="shared" si="6"/>
        <v>/</v>
      </c>
      <c r="T52" s="38" t="str">
        <f t="shared" si="7"/>
        <v>/</v>
      </c>
    </row>
    <row r="53" spans="1:20" ht="16.5" customHeight="1" x14ac:dyDescent="0.25">
      <c r="A53" s="49"/>
      <c r="B53" s="790"/>
      <c r="C53" s="984" t="s">
        <v>124</v>
      </c>
      <c r="D53" s="984" t="s">
        <v>124</v>
      </c>
      <c r="E53" s="790"/>
      <c r="F53" s="985" t="str">
        <f t="shared" si="1"/>
        <v/>
      </c>
      <c r="G53" s="2017"/>
      <c r="H53" s="2018"/>
      <c r="I53" s="790"/>
      <c r="J53" s="796" t="str">
        <f t="shared" si="2"/>
        <v/>
      </c>
      <c r="K53" s="49"/>
      <c r="L53" s="49"/>
      <c r="M53" s="49"/>
      <c r="N53" s="49"/>
      <c r="O53" s="49" t="s">
        <v>124</v>
      </c>
      <c r="P53" s="38" t="str">
        <f t="shared" si="3"/>
        <v>/</v>
      </c>
      <c r="Q53" s="38" t="str">
        <f t="shared" si="4"/>
        <v>/</v>
      </c>
      <c r="R53" s="38" t="str">
        <f t="shared" si="5"/>
        <v>/</v>
      </c>
      <c r="S53" s="38" t="str">
        <f t="shared" si="6"/>
        <v>/</v>
      </c>
      <c r="T53" s="38" t="str">
        <f t="shared" si="7"/>
        <v>/</v>
      </c>
    </row>
    <row r="54" spans="1:20" ht="16.5" customHeight="1" x14ac:dyDescent="0.25">
      <c r="A54" s="49"/>
      <c r="B54" s="790"/>
      <c r="C54" s="984" t="s">
        <v>124</v>
      </c>
      <c r="D54" s="984" t="s">
        <v>124</v>
      </c>
      <c r="E54" s="790"/>
      <c r="F54" s="985" t="str">
        <f t="shared" si="1"/>
        <v/>
      </c>
      <c r="G54" s="2017"/>
      <c r="H54" s="2018"/>
      <c r="I54" s="790"/>
      <c r="J54" s="796" t="str">
        <f t="shared" si="2"/>
        <v/>
      </c>
      <c r="K54" s="49"/>
      <c r="L54" s="49"/>
      <c r="M54" s="49"/>
      <c r="N54" s="49"/>
      <c r="O54" s="49" t="s">
        <v>124</v>
      </c>
      <c r="P54" s="38" t="str">
        <f t="shared" si="3"/>
        <v>/</v>
      </c>
      <c r="Q54" s="38" t="str">
        <f t="shared" si="4"/>
        <v>/</v>
      </c>
      <c r="R54" s="38" t="str">
        <f t="shared" si="5"/>
        <v>/</v>
      </c>
      <c r="S54" s="38" t="str">
        <f t="shared" si="6"/>
        <v>/</v>
      </c>
      <c r="T54" s="38" t="str">
        <f t="shared" si="7"/>
        <v>/</v>
      </c>
    </row>
    <row r="55" spans="1:20" ht="16.5" customHeight="1" x14ac:dyDescent="0.25">
      <c r="A55" s="49"/>
      <c r="B55" s="790"/>
      <c r="C55" s="984" t="s">
        <v>124</v>
      </c>
      <c r="D55" s="984" t="s">
        <v>124</v>
      </c>
      <c r="E55" s="790"/>
      <c r="F55" s="985" t="str">
        <f t="shared" si="1"/>
        <v/>
      </c>
      <c r="G55" s="2017"/>
      <c r="H55" s="2018"/>
      <c r="I55" s="790"/>
      <c r="J55" s="796" t="str">
        <f t="shared" si="2"/>
        <v/>
      </c>
      <c r="K55" s="49"/>
      <c r="L55" s="49"/>
      <c r="M55" s="49"/>
      <c r="N55" s="49"/>
      <c r="O55" s="49" t="s">
        <v>124</v>
      </c>
      <c r="P55" s="38" t="str">
        <f t="shared" si="3"/>
        <v>/</v>
      </c>
      <c r="Q55" s="38" t="str">
        <f t="shared" si="4"/>
        <v>/</v>
      </c>
      <c r="R55" s="38" t="str">
        <f t="shared" si="5"/>
        <v>/</v>
      </c>
      <c r="S55" s="38" t="str">
        <f t="shared" si="6"/>
        <v>/</v>
      </c>
      <c r="T55" s="38" t="str">
        <f t="shared" si="7"/>
        <v>/</v>
      </c>
    </row>
    <row r="56" spans="1:20" ht="16.5" customHeight="1" x14ac:dyDescent="0.25">
      <c r="A56" s="49"/>
      <c r="B56" s="790"/>
      <c r="C56" s="984" t="s">
        <v>124</v>
      </c>
      <c r="D56" s="984" t="s">
        <v>124</v>
      </c>
      <c r="E56" s="790"/>
      <c r="F56" s="985" t="str">
        <f t="shared" si="1"/>
        <v/>
      </c>
      <c r="G56" s="2017"/>
      <c r="H56" s="2018"/>
      <c r="I56" s="790"/>
      <c r="J56" s="796" t="str">
        <f t="shared" si="2"/>
        <v/>
      </c>
      <c r="K56" s="49"/>
      <c r="L56" s="49"/>
      <c r="M56" s="49"/>
      <c r="N56" s="49"/>
      <c r="O56" s="49" t="s">
        <v>124</v>
      </c>
      <c r="P56" s="38" t="str">
        <f t="shared" si="3"/>
        <v>/</v>
      </c>
      <c r="Q56" s="38" t="str">
        <f t="shared" si="4"/>
        <v>/</v>
      </c>
      <c r="R56" s="38" t="str">
        <f t="shared" si="5"/>
        <v>/</v>
      </c>
      <c r="S56" s="38" t="str">
        <f t="shared" si="6"/>
        <v>/</v>
      </c>
      <c r="T56" s="38" t="str">
        <f t="shared" si="7"/>
        <v>/</v>
      </c>
    </row>
    <row r="57" spans="1:20" ht="16.5" customHeight="1" x14ac:dyDescent="0.25">
      <c r="A57" s="49"/>
      <c r="B57" s="50"/>
      <c r="C57" s="50"/>
      <c r="D57" s="50"/>
      <c r="E57" s="50"/>
      <c r="F57" s="49"/>
      <c r="G57" s="49"/>
      <c r="H57" s="49"/>
      <c r="I57" s="49"/>
      <c r="J57" s="49"/>
      <c r="K57" s="49"/>
      <c r="L57" s="49"/>
    </row>
    <row r="58" spans="1:20" ht="18" customHeight="1" x14ac:dyDescent="0.25">
      <c r="A58" s="49"/>
      <c r="B58" s="2039" t="s">
        <v>907</v>
      </c>
      <c r="C58" s="2039"/>
      <c r="D58" s="79" t="str">
        <f>IF(AND(COUNTIF(J43:J56,"No")=0,COUNTIF(J43:J56,"Yes")&gt;0),"Yes","No")</f>
        <v>No</v>
      </c>
      <c r="E58" s="49"/>
      <c r="F58" s="49"/>
      <c r="G58" s="49"/>
      <c r="H58" s="49"/>
      <c r="I58" s="49"/>
      <c r="J58" s="49"/>
      <c r="K58" s="49"/>
      <c r="L58" s="49"/>
    </row>
    <row r="59" spans="1:20" ht="18.75" customHeight="1" x14ac:dyDescent="0.25">
      <c r="A59" s="49"/>
      <c r="B59" s="50"/>
      <c r="C59" s="50"/>
      <c r="D59" s="50"/>
      <c r="E59" s="49"/>
      <c r="F59" s="49"/>
      <c r="G59" s="49"/>
      <c r="H59" s="49"/>
      <c r="I59" s="49"/>
      <c r="J59" s="49"/>
      <c r="K59" s="49"/>
      <c r="L59" s="49"/>
    </row>
    <row r="60" spans="1:20" ht="16.5" customHeight="1" x14ac:dyDescent="0.25">
      <c r="A60" s="2068" t="s">
        <v>186</v>
      </c>
      <c r="B60" s="2068"/>
      <c r="C60" s="2068"/>
      <c r="D60" s="50"/>
      <c r="E60" s="50"/>
      <c r="F60" s="50"/>
      <c r="G60" s="50"/>
      <c r="H60" s="50"/>
      <c r="I60" s="50"/>
      <c r="J60" s="50"/>
      <c r="K60" s="50"/>
      <c r="L60" s="49"/>
    </row>
    <row r="61" spans="1:20" ht="16.5" customHeight="1" x14ac:dyDescent="0.25">
      <c r="A61" s="49"/>
      <c r="B61" s="50"/>
      <c r="C61" s="50"/>
      <c r="D61" s="50"/>
      <c r="E61" s="49"/>
      <c r="F61" s="49"/>
      <c r="G61" s="49"/>
      <c r="H61" s="49"/>
      <c r="I61" s="49"/>
      <c r="J61" s="49"/>
      <c r="K61" s="49"/>
      <c r="L61" s="49"/>
    </row>
    <row r="62" spans="1:20" ht="18" customHeight="1" x14ac:dyDescent="0.25">
      <c r="A62" s="49"/>
      <c r="B62" s="2035" t="s">
        <v>1739</v>
      </c>
      <c r="C62" s="2036"/>
      <c r="D62" s="2036"/>
      <c r="E62" s="2036"/>
      <c r="F62" s="2036"/>
      <c r="G62" s="1097" t="s">
        <v>1737</v>
      </c>
      <c r="H62" s="2030" t="s">
        <v>1738</v>
      </c>
      <c r="I62" s="2031"/>
      <c r="J62" s="49"/>
      <c r="K62" s="49"/>
      <c r="L62" s="49"/>
    </row>
    <row r="63" spans="1:20" ht="24" customHeight="1" x14ac:dyDescent="0.25">
      <c r="A63" s="49"/>
      <c r="B63" s="1576" t="s">
        <v>1086</v>
      </c>
      <c r="C63" s="1577"/>
      <c r="D63" s="1577"/>
      <c r="E63" s="1577"/>
      <c r="F63" s="1578"/>
      <c r="G63" s="565" t="s">
        <v>124</v>
      </c>
      <c r="H63" s="1931"/>
      <c r="I63" s="1932"/>
      <c r="J63" s="49"/>
      <c r="K63" s="49"/>
      <c r="L63" s="49"/>
    </row>
    <row r="64" spans="1:20" ht="27" customHeight="1" x14ac:dyDescent="0.25">
      <c r="A64" s="49"/>
      <c r="B64" s="1576" t="s">
        <v>2386</v>
      </c>
      <c r="C64" s="1577"/>
      <c r="D64" s="1577"/>
      <c r="E64" s="1577"/>
      <c r="F64" s="1578"/>
      <c r="G64" s="865" t="s">
        <v>124</v>
      </c>
      <c r="H64" s="1931"/>
      <c r="I64" s="1932"/>
      <c r="J64" s="49"/>
      <c r="K64" s="49"/>
      <c r="L64" s="49"/>
    </row>
    <row r="65" spans="1:12" ht="17.25" customHeight="1" x14ac:dyDescent="0.25">
      <c r="A65" s="49"/>
      <c r="B65" s="50"/>
      <c r="C65" s="50"/>
      <c r="D65" s="50"/>
      <c r="E65" s="49"/>
      <c r="F65" s="49"/>
      <c r="G65" s="49"/>
      <c r="H65" s="49"/>
      <c r="I65" s="49"/>
      <c r="J65" s="49"/>
      <c r="K65" s="49"/>
      <c r="L65" s="49"/>
    </row>
    <row r="66" spans="1:12" ht="16.5" customHeight="1" x14ac:dyDescent="0.25">
      <c r="A66" s="2068" t="s">
        <v>22</v>
      </c>
      <c r="B66" s="2068"/>
      <c r="C66" s="2068"/>
      <c r="D66" s="50"/>
      <c r="E66" s="49"/>
      <c r="F66" s="49"/>
      <c r="G66" s="49"/>
      <c r="H66" s="49"/>
      <c r="I66" s="49"/>
      <c r="J66" s="49"/>
      <c r="K66" s="49"/>
      <c r="L66" s="49"/>
    </row>
    <row r="67" spans="1:12" ht="16.5" customHeight="1" x14ac:dyDescent="0.25">
      <c r="A67" s="49"/>
      <c r="B67" s="50"/>
      <c r="C67" s="50"/>
      <c r="D67" s="50"/>
      <c r="E67" s="49"/>
      <c r="F67" s="49"/>
      <c r="G67" s="49"/>
      <c r="H67" s="49"/>
      <c r="I67" s="49"/>
      <c r="J67" s="49"/>
      <c r="K67" s="49"/>
      <c r="L67" s="49"/>
    </row>
    <row r="68" spans="1:12" ht="16.5" customHeight="1" x14ac:dyDescent="0.25">
      <c r="A68" s="49"/>
      <c r="B68" s="243" t="s">
        <v>53</v>
      </c>
      <c r="C68" s="1335">
        <f>IF(D58="Yes",1,0)</f>
        <v>0</v>
      </c>
      <c r="D68" s="50"/>
      <c r="E68" s="49"/>
      <c r="F68" s="49"/>
      <c r="G68" s="49"/>
      <c r="H68" s="49"/>
      <c r="I68" s="49"/>
      <c r="J68" s="49"/>
      <c r="K68" s="49"/>
      <c r="L68" s="49"/>
    </row>
    <row r="69" spans="1:12" ht="16.5" customHeight="1" x14ac:dyDescent="0.25">
      <c r="A69" s="49"/>
      <c r="B69" s="244" t="s">
        <v>492</v>
      </c>
      <c r="C69" s="1335" t="str">
        <f>IF(AND(COUNTIF(G63:G64,"Submitted")=2,C68&gt;0),"Yes","No")</f>
        <v>No</v>
      </c>
      <c r="D69" s="50"/>
      <c r="E69" s="49"/>
      <c r="F69" s="49"/>
      <c r="G69" s="49"/>
      <c r="H69" s="49"/>
      <c r="I69" s="49"/>
      <c r="J69" s="49"/>
      <c r="K69" s="49"/>
      <c r="L69" s="49"/>
    </row>
    <row r="70" spans="1:12" ht="18.75" customHeight="1" x14ac:dyDescent="0.25">
      <c r="A70" s="49"/>
      <c r="B70" s="50"/>
      <c r="C70" s="50"/>
      <c r="D70" s="50"/>
      <c r="E70" s="49"/>
      <c r="F70" s="49"/>
      <c r="G70" s="49"/>
      <c r="H70" s="49"/>
      <c r="I70" s="49"/>
      <c r="J70" s="49"/>
      <c r="K70" s="49"/>
      <c r="L70" s="49"/>
    </row>
    <row r="71" spans="1:12" ht="18" customHeight="1" x14ac:dyDescent="0.25">
      <c r="A71" s="2016" t="s">
        <v>1808</v>
      </c>
      <c r="B71" s="2016"/>
      <c r="C71" s="2016"/>
      <c r="D71" s="2016"/>
      <c r="E71" s="2016"/>
      <c r="F71" s="2016"/>
      <c r="G71" s="2016"/>
      <c r="H71" s="2016"/>
      <c r="I71" s="2016"/>
      <c r="J71" s="2016"/>
      <c r="K71" s="2016"/>
      <c r="L71" s="2016"/>
    </row>
    <row r="72" spans="1:12" x14ac:dyDescent="0.25">
      <c r="A72" s="49"/>
      <c r="B72" s="50"/>
      <c r="C72" s="1126"/>
      <c r="D72" s="50"/>
      <c r="E72" s="49"/>
      <c r="F72" s="49"/>
      <c r="G72" s="49"/>
      <c r="H72" s="49"/>
      <c r="I72" s="49"/>
      <c r="J72" s="49"/>
      <c r="K72" s="49"/>
      <c r="L72" s="49"/>
    </row>
    <row r="73" spans="1:12" x14ac:dyDescent="0.25">
      <c r="A73" s="49"/>
      <c r="B73" s="1910" t="s">
        <v>243</v>
      </c>
      <c r="C73" s="1910"/>
      <c r="D73" s="1909" t="s">
        <v>124</v>
      </c>
      <c r="E73" s="1909"/>
      <c r="F73" s="49"/>
      <c r="G73" s="49"/>
      <c r="H73" s="49"/>
      <c r="I73" s="49"/>
      <c r="J73" s="49"/>
      <c r="K73" s="49"/>
      <c r="L73" s="49"/>
    </row>
    <row r="74" spans="1:12" x14ac:dyDescent="0.25">
      <c r="A74" s="49"/>
      <c r="B74" s="50"/>
      <c r="C74" s="50"/>
      <c r="D74" s="50"/>
      <c r="E74" s="49"/>
      <c r="F74" s="49"/>
      <c r="G74" s="49"/>
      <c r="H74" s="49"/>
      <c r="I74" s="49"/>
      <c r="J74" s="49"/>
      <c r="K74" s="49"/>
      <c r="L74" s="49"/>
    </row>
    <row r="75" spans="1:12" ht="18" customHeight="1" x14ac:dyDescent="0.25">
      <c r="A75" s="2016" t="s">
        <v>1809</v>
      </c>
      <c r="B75" s="2016"/>
      <c r="C75" s="2016"/>
      <c r="D75" s="2016"/>
      <c r="E75" s="50"/>
      <c r="F75" s="50"/>
      <c r="G75" s="50"/>
      <c r="H75" s="50"/>
      <c r="I75" s="50"/>
      <c r="J75" s="50"/>
      <c r="K75" s="50"/>
      <c r="L75" s="50"/>
    </row>
    <row r="76" spans="1:12" x14ac:dyDescent="0.25">
      <c r="A76" s="49"/>
      <c r="B76" s="50"/>
      <c r="C76" s="50"/>
      <c r="D76" s="50"/>
      <c r="E76" s="50"/>
      <c r="F76" s="49"/>
      <c r="G76" s="49"/>
      <c r="H76" s="49"/>
      <c r="I76" s="49"/>
      <c r="J76" s="49"/>
      <c r="K76" s="49"/>
      <c r="L76" s="49"/>
    </row>
    <row r="77" spans="1:12" ht="16.5" customHeight="1" x14ac:dyDescent="0.25">
      <c r="A77" s="2068" t="s">
        <v>245</v>
      </c>
      <c r="B77" s="2068"/>
      <c r="C77" s="2068"/>
      <c r="D77" s="50"/>
      <c r="E77" s="49"/>
      <c r="F77" s="49"/>
      <c r="G77" s="49"/>
      <c r="H77" s="49"/>
      <c r="I77" s="49"/>
      <c r="J77" s="49"/>
      <c r="K77" s="49"/>
      <c r="L77" s="49"/>
    </row>
    <row r="78" spans="1:12" x14ac:dyDescent="0.25">
      <c r="A78" s="49"/>
      <c r="B78" s="50"/>
      <c r="C78" s="50"/>
      <c r="D78" s="50"/>
      <c r="E78" s="49"/>
      <c r="F78" s="49"/>
      <c r="G78" s="49"/>
      <c r="H78" s="49"/>
      <c r="I78" s="49"/>
      <c r="J78" s="49"/>
      <c r="K78" s="49"/>
      <c r="L78" s="49"/>
    </row>
    <row r="79" spans="1:12" x14ac:dyDescent="0.25">
      <c r="A79" s="49"/>
      <c r="B79" s="643" t="s">
        <v>2101</v>
      </c>
      <c r="C79" s="50"/>
      <c r="D79" s="50"/>
      <c r="E79" s="49"/>
      <c r="F79" s="49"/>
      <c r="G79" s="49"/>
      <c r="H79" s="49"/>
      <c r="I79" s="49"/>
      <c r="J79" s="49"/>
      <c r="K79" s="49"/>
      <c r="L79" s="49"/>
    </row>
    <row r="80" spans="1:12" ht="18" customHeight="1" x14ac:dyDescent="0.25">
      <c r="A80" s="49"/>
      <c r="B80" s="50"/>
      <c r="C80" s="50"/>
      <c r="D80" s="50"/>
      <c r="E80" s="49"/>
      <c r="F80" s="49"/>
      <c r="G80" s="49"/>
      <c r="H80" s="49"/>
      <c r="I80" s="49"/>
      <c r="J80" s="49"/>
      <c r="K80" s="49"/>
      <c r="L80" s="49"/>
    </row>
    <row r="81" spans="1:14" x14ac:dyDescent="0.25">
      <c r="A81" s="49"/>
      <c r="B81" s="579" t="s">
        <v>2102</v>
      </c>
      <c r="C81" s="50"/>
      <c r="D81" s="50"/>
      <c r="E81" s="50"/>
      <c r="F81" s="50"/>
      <c r="G81" s="50"/>
      <c r="H81" s="50"/>
      <c r="I81" s="49"/>
      <c r="J81" s="49"/>
      <c r="K81" s="49"/>
      <c r="L81" s="49"/>
    </row>
    <row r="82" spans="1:14" ht="10.5" customHeight="1" x14ac:dyDescent="0.25">
      <c r="A82" s="49"/>
      <c r="B82" s="50"/>
      <c r="C82" s="50"/>
      <c r="D82" s="50"/>
      <c r="E82" s="50"/>
      <c r="F82" s="50"/>
      <c r="G82" s="50"/>
      <c r="H82" s="50"/>
      <c r="I82" s="49"/>
      <c r="J82" s="49"/>
      <c r="K82" s="49"/>
      <c r="L82" s="49"/>
    </row>
    <row r="83" spans="1:14" ht="38.25" x14ac:dyDescent="0.25">
      <c r="A83" s="49"/>
      <c r="B83" s="400" t="s">
        <v>1874</v>
      </c>
      <c r="C83" s="1096" t="s">
        <v>2103</v>
      </c>
      <c r="D83" s="1096" t="s">
        <v>2104</v>
      </c>
      <c r="E83" s="1096" t="s">
        <v>2105</v>
      </c>
      <c r="F83" s="1096" t="s">
        <v>2106</v>
      </c>
      <c r="G83" s="2046" t="s">
        <v>30</v>
      </c>
      <c r="H83" s="2069"/>
      <c r="I83" s="49"/>
      <c r="J83" s="49"/>
      <c r="K83" s="49"/>
      <c r="L83" s="49"/>
    </row>
    <row r="84" spans="1:14" x14ac:dyDescent="0.25">
      <c r="A84" s="49"/>
      <c r="B84" s="1089"/>
      <c r="C84" s="1089"/>
      <c r="D84" s="1089" t="s">
        <v>124</v>
      </c>
      <c r="E84" s="1131" t="s">
        <v>124</v>
      </c>
      <c r="F84" s="1089"/>
      <c r="G84" s="1763"/>
      <c r="H84" s="1841"/>
      <c r="I84" s="49"/>
      <c r="J84" s="49"/>
      <c r="K84" s="49"/>
      <c r="L84" s="49"/>
      <c r="N84" s="38" t="str">
        <f>IF(AND(D84&lt;&gt;"Select",D84&lt;&gt;"",E84&lt;&gt;"",E84&lt;&gt;"Select",F84&lt;&gt;""),IF(F84&lt;=D84+E84,"Yes","No"),"")</f>
        <v/>
      </c>
    </row>
    <row r="85" spans="1:14" x14ac:dyDescent="0.25">
      <c r="A85" s="49"/>
      <c r="B85" s="1089"/>
      <c r="C85" s="1089"/>
      <c r="D85" s="1089" t="s">
        <v>124</v>
      </c>
      <c r="E85" s="1131" t="s">
        <v>124</v>
      </c>
      <c r="F85" s="1089"/>
      <c r="G85" s="1763"/>
      <c r="H85" s="1841"/>
      <c r="I85" s="49"/>
      <c r="J85" s="49"/>
      <c r="K85" s="49"/>
      <c r="L85" s="49"/>
      <c r="N85" s="38" t="str">
        <f t="shared" ref="N85:N104" si="10">IF(AND(D85&lt;&gt;"Select",D85&lt;&gt;"",E85&lt;&gt;"",E85&lt;&gt;"Select"),IF(F85&lt;=D85+E85,"Yes","No"),"")</f>
        <v/>
      </c>
    </row>
    <row r="86" spans="1:14" x14ac:dyDescent="0.25">
      <c r="A86" s="49"/>
      <c r="B86" s="1089"/>
      <c r="C86" s="1089"/>
      <c r="D86" s="1089" t="s">
        <v>124</v>
      </c>
      <c r="E86" s="1089" t="s">
        <v>124</v>
      </c>
      <c r="F86" s="1089"/>
      <c r="G86" s="1763"/>
      <c r="H86" s="1841"/>
      <c r="I86" s="49"/>
      <c r="J86" s="49"/>
      <c r="K86" s="49"/>
      <c r="L86" s="49"/>
      <c r="N86" s="38" t="str">
        <f t="shared" si="10"/>
        <v/>
      </c>
    </row>
    <row r="87" spans="1:14" x14ac:dyDescent="0.25">
      <c r="A87" s="49"/>
      <c r="B87" s="1089"/>
      <c r="C87" s="1089"/>
      <c r="D87" s="1089" t="s">
        <v>124</v>
      </c>
      <c r="E87" s="1089" t="s">
        <v>124</v>
      </c>
      <c r="F87" s="1089"/>
      <c r="G87" s="1763"/>
      <c r="H87" s="1841"/>
      <c r="I87" s="49"/>
      <c r="J87" s="49"/>
      <c r="K87" s="49"/>
      <c r="L87" s="49"/>
      <c r="N87" s="38" t="str">
        <f t="shared" si="10"/>
        <v/>
      </c>
    </row>
    <row r="88" spans="1:14" x14ac:dyDescent="0.25">
      <c r="A88" s="49"/>
      <c r="B88" s="1089"/>
      <c r="C88" s="1089"/>
      <c r="D88" s="1089" t="s">
        <v>124</v>
      </c>
      <c r="E88" s="1089" t="s">
        <v>124</v>
      </c>
      <c r="F88" s="1089"/>
      <c r="G88" s="1763"/>
      <c r="H88" s="1841"/>
      <c r="I88" s="49"/>
      <c r="J88" s="49"/>
      <c r="K88" s="49"/>
      <c r="L88" s="49"/>
      <c r="N88" s="38" t="str">
        <f t="shared" ref="N88:N92" si="11">IF(AND(D88&lt;&gt;"Select",D88&lt;&gt;"",E88&lt;&gt;"",E88&lt;&gt;"Select"),IF(F88&lt;=D88+E88,"Yes","No"),"")</f>
        <v/>
      </c>
    </row>
    <row r="89" spans="1:14" x14ac:dyDescent="0.25">
      <c r="A89" s="49"/>
      <c r="B89" s="1089"/>
      <c r="C89" s="1089"/>
      <c r="D89" s="1089" t="s">
        <v>124</v>
      </c>
      <c r="E89" s="1089" t="s">
        <v>124</v>
      </c>
      <c r="F89" s="1089"/>
      <c r="G89" s="1763"/>
      <c r="H89" s="1841"/>
      <c r="I89" s="49"/>
      <c r="J89" s="49"/>
      <c r="K89" s="49"/>
      <c r="L89" s="49"/>
      <c r="N89" s="38" t="str">
        <f t="shared" si="11"/>
        <v/>
      </c>
    </row>
    <row r="90" spans="1:14" x14ac:dyDescent="0.25">
      <c r="A90" s="49"/>
      <c r="B90" s="1089"/>
      <c r="C90" s="1089"/>
      <c r="D90" s="1089" t="s">
        <v>124</v>
      </c>
      <c r="E90" s="1089" t="s">
        <v>124</v>
      </c>
      <c r="F90" s="1089"/>
      <c r="G90" s="1763"/>
      <c r="H90" s="1841"/>
      <c r="I90" s="49"/>
      <c r="J90" s="49"/>
      <c r="K90" s="49"/>
      <c r="L90" s="49"/>
      <c r="N90" s="38" t="str">
        <f t="shared" si="11"/>
        <v/>
      </c>
    </row>
    <row r="91" spans="1:14" x14ac:dyDescent="0.25">
      <c r="A91" s="49"/>
      <c r="B91" s="1089"/>
      <c r="C91" s="1089"/>
      <c r="D91" s="1089" t="s">
        <v>124</v>
      </c>
      <c r="E91" s="1089" t="s">
        <v>124</v>
      </c>
      <c r="F91" s="1089"/>
      <c r="G91" s="1763"/>
      <c r="H91" s="1841"/>
      <c r="I91" s="49"/>
      <c r="J91" s="49"/>
      <c r="K91" s="49"/>
      <c r="L91" s="49"/>
      <c r="N91" s="38" t="str">
        <f t="shared" si="11"/>
        <v/>
      </c>
    </row>
    <row r="92" spans="1:14" x14ac:dyDescent="0.25">
      <c r="A92" s="49"/>
      <c r="B92" s="1089"/>
      <c r="C92" s="1089"/>
      <c r="D92" s="1089" t="s">
        <v>124</v>
      </c>
      <c r="E92" s="1089" t="s">
        <v>124</v>
      </c>
      <c r="F92" s="1089"/>
      <c r="G92" s="1763"/>
      <c r="H92" s="1841"/>
      <c r="I92" s="49"/>
      <c r="J92" s="49"/>
      <c r="K92" s="49"/>
      <c r="L92" s="49"/>
      <c r="N92" s="38" t="str">
        <f t="shared" si="11"/>
        <v/>
      </c>
    </row>
    <row r="93" spans="1:14" x14ac:dyDescent="0.25">
      <c r="A93" s="49"/>
      <c r="B93" s="1089"/>
      <c r="C93" s="1089"/>
      <c r="D93" s="1089" t="s">
        <v>124</v>
      </c>
      <c r="E93" s="1089" t="s">
        <v>124</v>
      </c>
      <c r="F93" s="1089"/>
      <c r="G93" s="1763"/>
      <c r="H93" s="1841"/>
      <c r="I93" s="49"/>
      <c r="J93" s="49"/>
      <c r="K93" s="49"/>
      <c r="L93" s="49"/>
      <c r="N93" s="38" t="str">
        <f t="shared" si="10"/>
        <v/>
      </c>
    </row>
    <row r="94" spans="1:14" x14ac:dyDescent="0.25">
      <c r="A94" s="49"/>
      <c r="B94" s="1089"/>
      <c r="C94" s="1089"/>
      <c r="D94" s="1089" t="s">
        <v>124</v>
      </c>
      <c r="E94" s="1089" t="s">
        <v>124</v>
      </c>
      <c r="F94" s="1089"/>
      <c r="G94" s="1763"/>
      <c r="H94" s="1841"/>
      <c r="I94" s="49"/>
      <c r="J94" s="49"/>
      <c r="K94" s="49"/>
      <c r="L94" s="49"/>
      <c r="N94" s="38" t="str">
        <f t="shared" si="10"/>
        <v/>
      </c>
    </row>
    <row r="95" spans="1:14" x14ac:dyDescent="0.25">
      <c r="A95" s="49"/>
      <c r="B95" s="1089"/>
      <c r="C95" s="1089"/>
      <c r="D95" s="1089" t="s">
        <v>124</v>
      </c>
      <c r="E95" s="1089" t="s">
        <v>124</v>
      </c>
      <c r="F95" s="1089"/>
      <c r="G95" s="1763"/>
      <c r="H95" s="1841"/>
      <c r="I95" s="49"/>
      <c r="J95" s="49"/>
      <c r="K95" s="49"/>
      <c r="L95" s="49"/>
      <c r="N95" s="38" t="str">
        <f t="shared" si="10"/>
        <v/>
      </c>
    </row>
    <row r="96" spans="1:14" x14ac:dyDescent="0.25">
      <c r="A96" s="49"/>
      <c r="B96" s="1089"/>
      <c r="C96" s="1089"/>
      <c r="D96" s="1089" t="s">
        <v>124</v>
      </c>
      <c r="E96" s="1089" t="s">
        <v>124</v>
      </c>
      <c r="F96" s="1089"/>
      <c r="G96" s="1763"/>
      <c r="H96" s="1841"/>
      <c r="I96" s="49"/>
      <c r="J96" s="49"/>
      <c r="K96" s="49"/>
      <c r="L96" s="49"/>
      <c r="N96" s="38" t="str">
        <f t="shared" si="10"/>
        <v/>
      </c>
    </row>
    <row r="97" spans="1:14" x14ac:dyDescent="0.25">
      <c r="A97" s="49"/>
      <c r="B97" s="1089"/>
      <c r="C97" s="1089"/>
      <c r="D97" s="1089" t="s">
        <v>124</v>
      </c>
      <c r="E97" s="1089" t="s">
        <v>124</v>
      </c>
      <c r="F97" s="1089"/>
      <c r="G97" s="1763"/>
      <c r="H97" s="1841"/>
      <c r="I97" s="49"/>
      <c r="J97" s="49"/>
      <c r="K97" s="49"/>
      <c r="L97" s="49"/>
      <c r="N97" s="38" t="str">
        <f t="shared" si="10"/>
        <v/>
      </c>
    </row>
    <row r="98" spans="1:14" x14ac:dyDescent="0.25">
      <c r="A98" s="49"/>
      <c r="B98" s="1089"/>
      <c r="C98" s="1089"/>
      <c r="D98" s="1089" t="s">
        <v>124</v>
      </c>
      <c r="E98" s="1089" t="s">
        <v>124</v>
      </c>
      <c r="F98" s="1089"/>
      <c r="G98" s="1763"/>
      <c r="H98" s="1841"/>
      <c r="I98" s="49"/>
      <c r="J98" s="49"/>
      <c r="K98" s="49"/>
      <c r="L98" s="49"/>
      <c r="N98" s="38" t="str">
        <f t="shared" si="10"/>
        <v/>
      </c>
    </row>
    <row r="99" spans="1:14" x14ac:dyDescent="0.25">
      <c r="A99" s="49"/>
      <c r="B99" s="1089"/>
      <c r="C99" s="1089"/>
      <c r="D99" s="1089" t="s">
        <v>124</v>
      </c>
      <c r="E99" s="1089" t="s">
        <v>124</v>
      </c>
      <c r="F99" s="1089"/>
      <c r="G99" s="1763"/>
      <c r="H99" s="1841"/>
      <c r="I99" s="49"/>
      <c r="J99" s="49"/>
      <c r="K99" s="49"/>
      <c r="L99" s="49"/>
      <c r="N99" s="38" t="str">
        <f t="shared" si="10"/>
        <v/>
      </c>
    </row>
    <row r="100" spans="1:14" x14ac:dyDescent="0.25">
      <c r="A100" s="49"/>
      <c r="B100" s="1089"/>
      <c r="C100" s="1089"/>
      <c r="D100" s="1089" t="s">
        <v>124</v>
      </c>
      <c r="E100" s="1089" t="s">
        <v>124</v>
      </c>
      <c r="F100" s="1089"/>
      <c r="G100" s="1763"/>
      <c r="H100" s="1841"/>
      <c r="I100" s="49"/>
      <c r="J100" s="49"/>
      <c r="K100" s="49"/>
      <c r="L100" s="49"/>
      <c r="N100" s="38" t="str">
        <f t="shared" si="10"/>
        <v/>
      </c>
    </row>
    <row r="101" spans="1:14" x14ac:dyDescent="0.25">
      <c r="A101" s="49"/>
      <c r="B101" s="1089"/>
      <c r="C101" s="1089"/>
      <c r="D101" s="1089" t="s">
        <v>124</v>
      </c>
      <c r="E101" s="1089" t="s">
        <v>124</v>
      </c>
      <c r="F101" s="1089"/>
      <c r="G101" s="1763"/>
      <c r="H101" s="1841"/>
      <c r="I101" s="49"/>
      <c r="J101" s="49"/>
      <c r="K101" s="49"/>
      <c r="L101" s="49"/>
      <c r="N101" s="38" t="str">
        <f t="shared" si="10"/>
        <v/>
      </c>
    </row>
    <row r="102" spans="1:14" x14ac:dyDescent="0.25">
      <c r="A102" s="49"/>
      <c r="B102" s="1089"/>
      <c r="C102" s="1089"/>
      <c r="D102" s="1089" t="s">
        <v>124</v>
      </c>
      <c r="E102" s="1089" t="s">
        <v>124</v>
      </c>
      <c r="F102" s="1089"/>
      <c r="G102" s="1763"/>
      <c r="H102" s="1841"/>
      <c r="I102" s="49"/>
      <c r="J102" s="49"/>
      <c r="K102" s="49"/>
      <c r="L102" s="49"/>
      <c r="N102" s="38" t="str">
        <f t="shared" si="10"/>
        <v/>
      </c>
    </row>
    <row r="103" spans="1:14" x14ac:dyDescent="0.25">
      <c r="A103" s="49"/>
      <c r="B103" s="1089"/>
      <c r="C103" s="1089"/>
      <c r="D103" s="1089" t="s">
        <v>124</v>
      </c>
      <c r="E103" s="1089" t="s">
        <v>124</v>
      </c>
      <c r="F103" s="1089"/>
      <c r="G103" s="1763"/>
      <c r="H103" s="1841"/>
      <c r="I103" s="49"/>
      <c r="J103" s="49"/>
      <c r="K103" s="49"/>
      <c r="L103" s="49"/>
      <c r="N103" s="38" t="str">
        <f t="shared" si="10"/>
        <v/>
      </c>
    </row>
    <row r="104" spans="1:14" ht="17.25" customHeight="1" x14ac:dyDescent="0.25">
      <c r="A104" s="49"/>
      <c r="B104" s="50"/>
      <c r="C104" s="50"/>
      <c r="D104" s="50"/>
      <c r="E104" s="49"/>
      <c r="F104" s="49"/>
      <c r="G104" s="49"/>
      <c r="H104" s="49"/>
      <c r="I104" s="49"/>
      <c r="J104" s="49"/>
      <c r="K104" s="49"/>
      <c r="L104" s="49"/>
      <c r="N104" s="38" t="str">
        <f t="shared" si="10"/>
        <v/>
      </c>
    </row>
    <row r="105" spans="1:14" ht="18" customHeight="1" x14ac:dyDescent="0.25">
      <c r="A105" s="49"/>
      <c r="B105" s="2039" t="s">
        <v>2107</v>
      </c>
      <c r="C105" s="2039"/>
      <c r="D105" s="79" t="str">
        <f>IF(AND(COUNTIF(N84:N103,"No")=0,COUNTIF(N84:N103,"Yes")&gt;=1),"Yes","No")</f>
        <v>No</v>
      </c>
      <c r="E105" s="49"/>
      <c r="F105" s="49"/>
      <c r="G105" s="49"/>
      <c r="H105" s="49"/>
      <c r="I105" s="49"/>
      <c r="J105" s="49"/>
      <c r="K105" s="49"/>
      <c r="L105" s="49"/>
    </row>
    <row r="106" spans="1:14" x14ac:dyDescent="0.25">
      <c r="A106" s="49"/>
      <c r="B106" s="50"/>
      <c r="C106" s="50"/>
      <c r="D106" s="50"/>
      <c r="E106" s="49"/>
      <c r="F106" s="49"/>
      <c r="G106" s="49"/>
      <c r="H106" s="49"/>
      <c r="I106" s="49"/>
      <c r="J106" s="49"/>
      <c r="K106" s="49"/>
      <c r="L106" s="49"/>
    </row>
    <row r="107" spans="1:14" ht="16.5" customHeight="1" x14ac:dyDescent="0.25">
      <c r="A107" s="2068" t="s">
        <v>186</v>
      </c>
      <c r="B107" s="2068"/>
      <c r="C107" s="2068"/>
      <c r="D107" s="50"/>
      <c r="E107" s="50"/>
      <c r="F107" s="50"/>
      <c r="G107" s="50"/>
      <c r="H107" s="50"/>
      <c r="I107" s="50"/>
      <c r="J107" s="50"/>
      <c r="K107" s="50"/>
      <c r="L107" s="49"/>
    </row>
    <row r="108" spans="1:14" x14ac:dyDescent="0.25">
      <c r="A108" s="49"/>
      <c r="B108" s="50"/>
      <c r="C108" s="50"/>
      <c r="D108" s="50"/>
      <c r="E108" s="49"/>
      <c r="F108" s="49"/>
      <c r="G108" s="49"/>
      <c r="H108" s="49"/>
      <c r="I108" s="49"/>
      <c r="J108" s="49"/>
      <c r="K108" s="49"/>
      <c r="L108" s="49"/>
    </row>
    <row r="109" spans="1:14" ht="18" customHeight="1" x14ac:dyDescent="0.25">
      <c r="A109" s="49"/>
      <c r="B109" s="2035" t="s">
        <v>1739</v>
      </c>
      <c r="C109" s="2036"/>
      <c r="D109" s="2036"/>
      <c r="E109" s="2036"/>
      <c r="F109" s="2036"/>
      <c r="G109" s="1097" t="s">
        <v>1737</v>
      </c>
      <c r="H109" s="2030" t="s">
        <v>1738</v>
      </c>
      <c r="I109" s="2031"/>
      <c r="J109" s="49"/>
      <c r="K109" s="49"/>
      <c r="L109" s="49"/>
    </row>
    <row r="110" spans="1:14" ht="24" customHeight="1" x14ac:dyDescent="0.25">
      <c r="A110" s="49"/>
      <c r="B110" s="1576" t="s">
        <v>2387</v>
      </c>
      <c r="C110" s="1577"/>
      <c r="D110" s="1577"/>
      <c r="E110" s="1577"/>
      <c r="F110" s="1578"/>
      <c r="G110" s="1089" t="s">
        <v>124</v>
      </c>
      <c r="H110" s="1763"/>
      <c r="I110" s="1841"/>
      <c r="J110" s="49"/>
      <c r="K110" s="49"/>
      <c r="L110" s="49"/>
    </row>
    <row r="111" spans="1:14" ht="24" hidden="1" customHeight="1" x14ac:dyDescent="0.25">
      <c r="A111" s="49"/>
      <c r="B111" s="2079" t="s">
        <v>1528</v>
      </c>
      <c r="C111" s="2080"/>
      <c r="D111" s="2080"/>
      <c r="E111" s="2080"/>
      <c r="F111" s="2156"/>
      <c r="G111" s="1089" t="s">
        <v>124</v>
      </c>
      <c r="H111" s="1763"/>
      <c r="I111" s="1841"/>
      <c r="J111" s="49"/>
      <c r="K111" s="49"/>
      <c r="L111" s="49"/>
    </row>
    <row r="112" spans="1:14" ht="19.5" customHeight="1" x14ac:dyDescent="0.25">
      <c r="A112" s="49"/>
      <c r="B112" s="50"/>
      <c r="C112" s="50"/>
      <c r="D112" s="50"/>
      <c r="E112" s="49"/>
      <c r="F112" s="49"/>
      <c r="G112" s="49"/>
      <c r="H112" s="49"/>
      <c r="I112" s="49"/>
      <c r="J112" s="49"/>
      <c r="K112" s="49"/>
      <c r="L112" s="49"/>
    </row>
    <row r="113" spans="1:12" ht="16.5" customHeight="1" x14ac:dyDescent="0.25">
      <c r="A113" s="2068" t="s">
        <v>22</v>
      </c>
      <c r="B113" s="2068"/>
      <c r="C113" s="2068"/>
      <c r="D113" s="50"/>
      <c r="E113" s="49"/>
      <c r="F113" s="49"/>
      <c r="G113" s="49"/>
      <c r="H113" s="49"/>
      <c r="I113" s="49"/>
      <c r="J113" s="49"/>
      <c r="K113" s="49"/>
      <c r="L113" s="49"/>
    </row>
    <row r="114" spans="1:12" ht="16.5" customHeight="1" x14ac:dyDescent="0.25">
      <c r="A114" s="49"/>
      <c r="B114" s="50"/>
      <c r="C114" s="50"/>
      <c r="D114" s="50"/>
      <c r="E114" s="49"/>
      <c r="F114" s="49"/>
      <c r="G114" s="49"/>
      <c r="H114" s="49"/>
      <c r="I114" s="49"/>
      <c r="J114" s="49"/>
      <c r="K114" s="49"/>
      <c r="L114" s="49"/>
    </row>
    <row r="115" spans="1:12" ht="16.5" customHeight="1" x14ac:dyDescent="0.25">
      <c r="A115" s="49"/>
      <c r="B115" s="243" t="s">
        <v>53</v>
      </c>
      <c r="C115" s="1335" t="str">
        <f>IF(D73="Option A: Internal Noise Levels",IF(D77="Yes",1,0),"")</f>
        <v/>
      </c>
      <c r="D115" s="50"/>
      <c r="E115" s="49"/>
      <c r="F115" s="49"/>
      <c r="G115" s="49"/>
      <c r="H115" s="49"/>
      <c r="I115" s="49"/>
      <c r="J115" s="49"/>
      <c r="K115" s="49"/>
      <c r="L115" s="49"/>
    </row>
    <row r="116" spans="1:12" ht="16.5" customHeight="1" x14ac:dyDescent="0.25">
      <c r="A116" s="49"/>
      <c r="B116" s="244" t="s">
        <v>492</v>
      </c>
      <c r="C116" s="1335" t="str">
        <f>IF(D73="Option A: Internal Noise Levels",IF(AND(COUNTIF(G110:G111,"Submitted")=2,C115&gt;0),"Yes","No"),"")</f>
        <v/>
      </c>
      <c r="D116" s="50"/>
      <c r="E116" s="49"/>
      <c r="F116" s="49"/>
      <c r="G116" s="49"/>
      <c r="H116" s="49"/>
      <c r="I116" s="49"/>
      <c r="J116" s="49"/>
      <c r="K116" s="49"/>
      <c r="L116" s="49"/>
    </row>
    <row r="117" spans="1:12" ht="17.25" customHeight="1" x14ac:dyDescent="0.25">
      <c r="A117" s="49"/>
      <c r="B117" s="50"/>
      <c r="C117" s="50"/>
      <c r="D117" s="50"/>
      <c r="E117" s="49"/>
      <c r="F117" s="49"/>
      <c r="G117" s="49"/>
      <c r="H117" s="49"/>
      <c r="I117" s="49"/>
      <c r="J117" s="49"/>
      <c r="K117" s="49"/>
      <c r="L117" s="49"/>
    </row>
    <row r="118" spans="1:12" ht="18" customHeight="1" x14ac:dyDescent="0.25">
      <c r="A118" s="2016" t="s">
        <v>1810</v>
      </c>
      <c r="B118" s="2016"/>
      <c r="C118" s="2016"/>
      <c r="D118" s="2016"/>
      <c r="E118" s="50"/>
      <c r="F118" s="50"/>
      <c r="G118" s="50"/>
      <c r="H118" s="50"/>
      <c r="I118" s="50"/>
      <c r="J118" s="50"/>
      <c r="K118" s="50"/>
      <c r="L118" s="50"/>
    </row>
    <row r="119" spans="1:12" x14ac:dyDescent="0.25">
      <c r="A119" s="49"/>
      <c r="B119" s="50"/>
      <c r="C119" s="50"/>
      <c r="D119" s="50"/>
      <c r="E119" s="50"/>
      <c r="F119" s="49"/>
      <c r="G119" s="49"/>
      <c r="H119" s="49"/>
      <c r="I119" s="49"/>
      <c r="J119" s="49"/>
      <c r="K119" s="49"/>
      <c r="L119" s="49"/>
    </row>
    <row r="120" spans="1:12" x14ac:dyDescent="0.25">
      <c r="A120" s="2068" t="s">
        <v>245</v>
      </c>
      <c r="B120" s="2068"/>
      <c r="C120" s="2068"/>
      <c r="D120" s="50"/>
      <c r="E120" s="49"/>
      <c r="F120" s="49"/>
      <c r="G120" s="49"/>
      <c r="H120" s="49"/>
      <c r="I120" s="49"/>
      <c r="J120" s="49"/>
      <c r="K120" s="49"/>
      <c r="L120" s="49"/>
    </row>
    <row r="121" spans="1:12" x14ac:dyDescent="0.25">
      <c r="A121" s="49"/>
      <c r="B121" s="50"/>
      <c r="C121" s="50"/>
      <c r="D121" s="50"/>
      <c r="E121" s="49"/>
      <c r="F121" s="49"/>
      <c r="G121" s="49"/>
      <c r="H121" s="49"/>
      <c r="I121" s="49"/>
      <c r="J121" s="49"/>
      <c r="K121" s="49"/>
      <c r="L121" s="49"/>
    </row>
    <row r="122" spans="1:12" ht="15.75" customHeight="1" x14ac:dyDescent="0.25">
      <c r="A122" s="49"/>
      <c r="B122" s="792" t="s">
        <v>908</v>
      </c>
      <c r="C122" s="50"/>
      <c r="D122" s="50"/>
      <c r="E122" s="49"/>
      <c r="F122" s="49"/>
      <c r="G122" s="49"/>
      <c r="H122" s="49"/>
      <c r="I122" s="49"/>
      <c r="J122" s="49"/>
      <c r="K122" s="49"/>
      <c r="L122" s="49"/>
    </row>
    <row r="123" spans="1:12" ht="15.75" customHeight="1" x14ac:dyDescent="0.25">
      <c r="A123" s="49"/>
      <c r="B123" s="50"/>
      <c r="C123" s="50"/>
      <c r="D123" s="50"/>
      <c r="E123" s="49"/>
      <c r="F123" s="49"/>
      <c r="G123" s="49"/>
      <c r="H123" s="49"/>
      <c r="I123" s="49"/>
      <c r="J123" s="49"/>
      <c r="K123" s="49"/>
      <c r="L123" s="49"/>
    </row>
    <row r="124" spans="1:12" ht="15" customHeight="1" x14ac:dyDescent="0.25">
      <c r="A124" s="49"/>
      <c r="B124" s="566" t="s">
        <v>909</v>
      </c>
      <c r="C124" s="50"/>
      <c r="D124" s="50"/>
      <c r="E124" s="50"/>
      <c r="F124" s="49"/>
      <c r="G124" s="49"/>
      <c r="H124" s="49"/>
      <c r="I124" s="49"/>
      <c r="J124" s="49"/>
      <c r="K124" s="49"/>
      <c r="L124" s="49"/>
    </row>
    <row r="125" spans="1:12" ht="15" customHeight="1" x14ac:dyDescent="0.25">
      <c r="A125" s="49"/>
      <c r="B125" s="566" t="s">
        <v>910</v>
      </c>
      <c r="C125" s="50"/>
      <c r="D125" s="50"/>
      <c r="E125" s="50"/>
      <c r="F125" s="49"/>
      <c r="G125" s="49"/>
      <c r="H125" s="49"/>
      <c r="I125" s="49"/>
      <c r="J125" s="49"/>
      <c r="K125" s="49"/>
      <c r="L125" s="49"/>
    </row>
    <row r="126" spans="1:12" ht="15" customHeight="1" x14ac:dyDescent="0.25">
      <c r="A126" s="49"/>
      <c r="B126" s="566" t="s">
        <v>911</v>
      </c>
      <c r="C126" s="50"/>
      <c r="D126" s="50"/>
      <c r="E126" s="50"/>
      <c r="F126" s="49"/>
      <c r="G126" s="49"/>
      <c r="H126" s="49"/>
      <c r="I126" s="49"/>
      <c r="J126" s="49"/>
      <c r="K126" s="49"/>
      <c r="L126" s="49"/>
    </row>
    <row r="127" spans="1:12" ht="13.5" customHeight="1" x14ac:dyDescent="0.25">
      <c r="A127" s="49"/>
      <c r="B127" s="50"/>
      <c r="C127" s="50"/>
      <c r="D127" s="50"/>
      <c r="E127" s="50"/>
      <c r="F127" s="49"/>
      <c r="G127" s="49"/>
      <c r="H127" s="49"/>
      <c r="I127" s="49"/>
      <c r="J127" s="49"/>
      <c r="K127" s="49"/>
      <c r="L127" s="49"/>
    </row>
    <row r="128" spans="1:12" ht="16.5" customHeight="1" x14ac:dyDescent="0.25">
      <c r="A128" s="49"/>
      <c r="B128" s="579" t="s">
        <v>1420</v>
      </c>
      <c r="C128" s="50"/>
      <c r="D128" s="50"/>
      <c r="E128" s="50"/>
      <c r="F128" s="49"/>
      <c r="G128" s="49"/>
      <c r="H128" s="49"/>
      <c r="I128" s="49"/>
      <c r="J128" s="49"/>
      <c r="K128" s="49"/>
      <c r="L128" s="49"/>
    </row>
    <row r="129" spans="1:12" ht="12.75" customHeight="1" x14ac:dyDescent="0.25">
      <c r="A129" s="49"/>
      <c r="B129" s="50"/>
      <c r="C129" s="50"/>
      <c r="D129" s="50"/>
      <c r="E129" s="50"/>
      <c r="F129" s="49"/>
      <c r="G129" s="49"/>
      <c r="H129" s="49"/>
      <c r="I129" s="49"/>
      <c r="J129" s="49"/>
      <c r="K129" s="49"/>
      <c r="L129" s="49"/>
    </row>
    <row r="130" spans="1:12" ht="32.25" customHeight="1" x14ac:dyDescent="0.25">
      <c r="A130" s="49"/>
      <c r="B130" s="490" t="s">
        <v>1845</v>
      </c>
      <c r="C130" s="491" t="s">
        <v>912</v>
      </c>
      <c r="D130" s="491" t="s">
        <v>172</v>
      </c>
      <c r="E130" s="50"/>
      <c r="F130" s="49"/>
      <c r="G130" s="49"/>
      <c r="H130" s="49"/>
      <c r="I130" s="49"/>
      <c r="J130" s="49"/>
      <c r="K130" s="49"/>
      <c r="L130" s="49"/>
    </row>
    <row r="131" spans="1:12" ht="15" customHeight="1" x14ac:dyDescent="0.25">
      <c r="A131" s="49"/>
      <c r="B131" s="489"/>
      <c r="C131" s="489"/>
      <c r="D131" s="201" t="str">
        <f>IFERROR(IF(C131="","",IF(C131&lt;=0.6,"Yes","No")),"")</f>
        <v/>
      </c>
      <c r="E131" s="50"/>
      <c r="F131" s="49"/>
      <c r="G131" s="49"/>
      <c r="H131" s="49"/>
      <c r="I131" s="49"/>
      <c r="J131" s="49"/>
      <c r="K131" s="49"/>
      <c r="L131" s="49"/>
    </row>
    <row r="132" spans="1:12" ht="15" customHeight="1" x14ac:dyDescent="0.25">
      <c r="A132" s="49"/>
      <c r="B132" s="489"/>
      <c r="C132" s="489"/>
      <c r="D132" s="201" t="str">
        <f t="shared" ref="D132:D150" si="12">IFERROR(IF(C132="","",IF(C132&lt;=0.6,"Yes","No")),"")</f>
        <v/>
      </c>
      <c r="E132" s="50"/>
      <c r="F132" s="49"/>
      <c r="G132" s="49"/>
      <c r="H132" s="49"/>
      <c r="I132" s="49"/>
      <c r="J132" s="49"/>
      <c r="K132" s="49"/>
      <c r="L132" s="49"/>
    </row>
    <row r="133" spans="1:12" ht="15" customHeight="1" x14ac:dyDescent="0.25">
      <c r="A133" s="49"/>
      <c r="B133" s="1089"/>
      <c r="C133" s="1089"/>
      <c r="D133" s="201" t="str">
        <f t="shared" ref="D133:D142" si="13">IFERROR(IF(C133="","",IF(C133&lt;=0.6,"Yes","No")),"")</f>
        <v/>
      </c>
      <c r="E133" s="50"/>
      <c r="F133" s="49"/>
      <c r="G133" s="49"/>
      <c r="H133" s="49"/>
      <c r="I133" s="49"/>
      <c r="J133" s="49"/>
      <c r="K133" s="49"/>
      <c r="L133" s="49"/>
    </row>
    <row r="134" spans="1:12" ht="15" customHeight="1" x14ac:dyDescent="0.25">
      <c r="A134" s="49"/>
      <c r="B134" s="1089"/>
      <c r="C134" s="1089"/>
      <c r="D134" s="201" t="str">
        <f t="shared" si="13"/>
        <v/>
      </c>
      <c r="E134" s="50"/>
      <c r="F134" s="49"/>
      <c r="G134" s="49"/>
      <c r="H134" s="49"/>
      <c r="I134" s="49"/>
      <c r="J134" s="49"/>
      <c r="K134" s="49"/>
      <c r="L134" s="49"/>
    </row>
    <row r="135" spans="1:12" ht="15" customHeight="1" x14ac:dyDescent="0.25">
      <c r="A135" s="49"/>
      <c r="B135" s="1089"/>
      <c r="C135" s="1089"/>
      <c r="D135" s="201" t="str">
        <f t="shared" si="13"/>
        <v/>
      </c>
      <c r="E135" s="50"/>
      <c r="F135" s="49"/>
      <c r="G135" s="49"/>
      <c r="H135" s="49"/>
      <c r="I135" s="49"/>
      <c r="J135" s="49"/>
      <c r="K135" s="49"/>
      <c r="L135" s="49"/>
    </row>
    <row r="136" spans="1:12" ht="15" customHeight="1" x14ac:dyDescent="0.25">
      <c r="A136" s="49"/>
      <c r="B136" s="1089"/>
      <c r="C136" s="1089"/>
      <c r="D136" s="201" t="str">
        <f t="shared" si="13"/>
        <v/>
      </c>
      <c r="E136" s="50"/>
      <c r="F136" s="49"/>
      <c r="G136" s="49"/>
      <c r="H136" s="49"/>
      <c r="I136" s="49"/>
      <c r="J136" s="49"/>
      <c r="K136" s="49"/>
      <c r="L136" s="49"/>
    </row>
    <row r="137" spans="1:12" ht="15" customHeight="1" x14ac:dyDescent="0.25">
      <c r="A137" s="49"/>
      <c r="B137" s="1089"/>
      <c r="C137" s="1089"/>
      <c r="D137" s="201" t="str">
        <f t="shared" si="13"/>
        <v/>
      </c>
      <c r="E137" s="50"/>
      <c r="F137" s="49"/>
      <c r="G137" s="49"/>
      <c r="H137" s="49"/>
      <c r="I137" s="49"/>
      <c r="J137" s="49"/>
      <c r="K137" s="49"/>
      <c r="L137" s="49"/>
    </row>
    <row r="138" spans="1:12" ht="15" customHeight="1" x14ac:dyDescent="0.25">
      <c r="A138" s="49"/>
      <c r="B138" s="1089"/>
      <c r="C138" s="1089"/>
      <c r="D138" s="201" t="str">
        <f t="shared" si="13"/>
        <v/>
      </c>
      <c r="E138" s="50"/>
      <c r="F138" s="49"/>
      <c r="G138" s="49"/>
      <c r="H138" s="49"/>
      <c r="I138" s="49"/>
      <c r="J138" s="49"/>
      <c r="K138" s="49"/>
      <c r="L138" s="49"/>
    </row>
    <row r="139" spans="1:12" ht="15" customHeight="1" x14ac:dyDescent="0.25">
      <c r="A139" s="49"/>
      <c r="B139" s="1089"/>
      <c r="C139" s="1089"/>
      <c r="D139" s="201" t="str">
        <f t="shared" si="13"/>
        <v/>
      </c>
      <c r="E139" s="50"/>
      <c r="F139" s="49"/>
      <c r="G139" s="49"/>
      <c r="H139" s="49"/>
      <c r="I139" s="49"/>
      <c r="J139" s="49"/>
      <c r="K139" s="49"/>
      <c r="L139" s="49"/>
    </row>
    <row r="140" spans="1:12" ht="15" customHeight="1" x14ac:dyDescent="0.25">
      <c r="A140" s="49"/>
      <c r="B140" s="1089"/>
      <c r="C140" s="1089"/>
      <c r="D140" s="201" t="str">
        <f t="shared" si="13"/>
        <v/>
      </c>
      <c r="E140" s="50"/>
      <c r="F140" s="49"/>
      <c r="G140" s="49"/>
      <c r="H140" s="49"/>
      <c r="I140" s="49"/>
      <c r="J140" s="49"/>
      <c r="K140" s="49"/>
      <c r="L140" s="49"/>
    </row>
    <row r="141" spans="1:12" ht="15" customHeight="1" x14ac:dyDescent="0.25">
      <c r="A141" s="49"/>
      <c r="B141" s="1089"/>
      <c r="C141" s="1089"/>
      <c r="D141" s="201" t="str">
        <f t="shared" si="13"/>
        <v/>
      </c>
      <c r="E141" s="50"/>
      <c r="F141" s="49"/>
      <c r="G141" s="49"/>
      <c r="H141" s="49"/>
      <c r="I141" s="49"/>
      <c r="J141" s="49"/>
      <c r="K141" s="49"/>
      <c r="L141" s="49"/>
    </row>
    <row r="142" spans="1:12" ht="15" customHeight="1" x14ac:dyDescent="0.25">
      <c r="A142" s="49"/>
      <c r="B142" s="1089"/>
      <c r="C142" s="1089"/>
      <c r="D142" s="201" t="str">
        <f t="shared" si="13"/>
        <v/>
      </c>
      <c r="E142" s="50"/>
      <c r="F142" s="49"/>
      <c r="G142" s="49"/>
      <c r="H142" s="49"/>
      <c r="I142" s="49"/>
      <c r="J142" s="49"/>
      <c r="K142" s="49"/>
      <c r="L142" s="49"/>
    </row>
    <row r="143" spans="1:12" ht="15" customHeight="1" x14ac:dyDescent="0.25">
      <c r="A143" s="49"/>
      <c r="B143" s="489"/>
      <c r="C143" s="489"/>
      <c r="D143" s="201" t="str">
        <f t="shared" si="12"/>
        <v/>
      </c>
      <c r="E143" s="50"/>
      <c r="F143" s="49"/>
      <c r="G143" s="49"/>
      <c r="H143" s="49"/>
      <c r="I143" s="49"/>
      <c r="J143" s="49"/>
      <c r="K143" s="49"/>
      <c r="L143" s="49"/>
    </row>
    <row r="144" spans="1:12" ht="15" customHeight="1" x14ac:dyDescent="0.25">
      <c r="A144" s="49"/>
      <c r="B144" s="489"/>
      <c r="C144" s="489"/>
      <c r="D144" s="201" t="str">
        <f t="shared" si="12"/>
        <v/>
      </c>
      <c r="E144" s="50"/>
      <c r="F144" s="49"/>
      <c r="G144" s="49"/>
      <c r="H144" s="49"/>
      <c r="I144" s="49"/>
      <c r="J144" s="49"/>
      <c r="K144" s="49"/>
      <c r="L144" s="49"/>
    </row>
    <row r="145" spans="1:12" ht="15" customHeight="1" x14ac:dyDescent="0.25">
      <c r="A145" s="49"/>
      <c r="B145" s="489"/>
      <c r="C145" s="489"/>
      <c r="D145" s="201" t="str">
        <f t="shared" si="12"/>
        <v/>
      </c>
      <c r="E145" s="50"/>
      <c r="F145" s="49"/>
      <c r="G145" s="49"/>
      <c r="H145" s="49"/>
      <c r="I145" s="49"/>
      <c r="J145" s="49"/>
      <c r="K145" s="49"/>
      <c r="L145" s="49"/>
    </row>
    <row r="146" spans="1:12" ht="15" customHeight="1" x14ac:dyDescent="0.25">
      <c r="A146" s="49"/>
      <c r="B146" s="489"/>
      <c r="C146" s="489"/>
      <c r="D146" s="201" t="str">
        <f t="shared" si="12"/>
        <v/>
      </c>
      <c r="E146" s="50"/>
      <c r="F146" s="49"/>
      <c r="G146" s="49"/>
      <c r="H146" s="49"/>
      <c r="I146" s="49"/>
      <c r="J146" s="49"/>
      <c r="K146" s="49"/>
      <c r="L146" s="49"/>
    </row>
    <row r="147" spans="1:12" ht="15" customHeight="1" x14ac:dyDescent="0.25">
      <c r="A147" s="49"/>
      <c r="B147" s="489"/>
      <c r="C147" s="489"/>
      <c r="D147" s="201" t="str">
        <f t="shared" si="12"/>
        <v/>
      </c>
      <c r="E147" s="50"/>
      <c r="F147" s="49"/>
      <c r="G147" s="49"/>
      <c r="H147" s="49"/>
      <c r="I147" s="49"/>
      <c r="J147" s="49"/>
      <c r="K147" s="49"/>
      <c r="L147" s="49"/>
    </row>
    <row r="148" spans="1:12" ht="15" customHeight="1" x14ac:dyDescent="0.25">
      <c r="A148" s="49"/>
      <c r="B148" s="489"/>
      <c r="C148" s="489"/>
      <c r="D148" s="201" t="str">
        <f t="shared" si="12"/>
        <v/>
      </c>
      <c r="E148" s="50"/>
      <c r="F148" s="49"/>
      <c r="G148" s="49"/>
      <c r="H148" s="49"/>
      <c r="I148" s="49"/>
      <c r="J148" s="49"/>
      <c r="K148" s="49"/>
      <c r="L148" s="49"/>
    </row>
    <row r="149" spans="1:12" ht="15" customHeight="1" x14ac:dyDescent="0.25">
      <c r="A149" s="49"/>
      <c r="B149" s="489"/>
      <c r="C149" s="489"/>
      <c r="D149" s="201" t="str">
        <f t="shared" si="12"/>
        <v/>
      </c>
      <c r="E149" s="50"/>
      <c r="F149" s="49"/>
      <c r="G149" s="49"/>
      <c r="H149" s="49"/>
      <c r="I149" s="49"/>
      <c r="J149" s="49"/>
      <c r="K149" s="49"/>
      <c r="L149" s="49"/>
    </row>
    <row r="150" spans="1:12" ht="15" customHeight="1" x14ac:dyDescent="0.25">
      <c r="A150" s="50"/>
      <c r="B150" s="489"/>
      <c r="C150" s="489"/>
      <c r="D150" s="201" t="str">
        <f t="shared" si="12"/>
        <v/>
      </c>
      <c r="E150" s="50"/>
      <c r="F150" s="49"/>
      <c r="G150" s="49"/>
      <c r="H150" s="49"/>
      <c r="I150" s="49"/>
      <c r="J150" s="49"/>
      <c r="K150" s="49"/>
      <c r="L150" s="49"/>
    </row>
    <row r="151" spans="1:12" ht="16.5" customHeight="1" x14ac:dyDescent="0.25">
      <c r="A151" s="50"/>
      <c r="B151" s="50"/>
      <c r="C151" s="50"/>
      <c r="D151" s="50"/>
      <c r="E151" s="50"/>
      <c r="F151" s="49"/>
      <c r="G151" s="49"/>
      <c r="H151" s="49"/>
      <c r="I151" s="49"/>
      <c r="J151" s="49"/>
      <c r="K151" s="49"/>
      <c r="L151" s="49"/>
    </row>
    <row r="152" spans="1:12" ht="18" customHeight="1" x14ac:dyDescent="0.25">
      <c r="A152" s="49"/>
      <c r="B152" s="2039" t="s">
        <v>913</v>
      </c>
      <c r="C152" s="2039"/>
      <c r="D152" s="79" t="str">
        <f>IF(AND(COUNTIF(D131:D150,"No")=0,COUNTIF(D131:D150,"Yes")&gt;2),"Yes","No")</f>
        <v>No</v>
      </c>
      <c r="E152" s="49"/>
      <c r="F152" s="49"/>
      <c r="G152" s="49"/>
      <c r="H152" s="49"/>
      <c r="I152" s="49"/>
      <c r="J152" s="49"/>
      <c r="K152" s="49"/>
      <c r="L152" s="49"/>
    </row>
    <row r="153" spans="1:12" ht="18" customHeight="1" x14ac:dyDescent="0.25">
      <c r="A153" s="49"/>
      <c r="B153" s="50"/>
      <c r="C153" s="50"/>
      <c r="D153" s="50"/>
      <c r="E153" s="49"/>
      <c r="F153" s="49"/>
      <c r="G153" s="49"/>
      <c r="H153" s="49"/>
      <c r="I153" s="49"/>
      <c r="J153" s="49"/>
      <c r="K153" s="49"/>
      <c r="L153" s="49"/>
    </row>
    <row r="154" spans="1:12" ht="16.5" customHeight="1" x14ac:dyDescent="0.25">
      <c r="A154" s="2068" t="s">
        <v>186</v>
      </c>
      <c r="B154" s="2068"/>
      <c r="C154" s="2068"/>
      <c r="D154" s="50"/>
      <c r="E154" s="50"/>
      <c r="F154" s="50"/>
      <c r="G154" s="50"/>
      <c r="H154" s="50"/>
      <c r="I154" s="50"/>
      <c r="J154" s="50"/>
      <c r="K154" s="50"/>
      <c r="L154" s="49"/>
    </row>
    <row r="155" spans="1:12" ht="16.5" customHeight="1" x14ac:dyDescent="0.25">
      <c r="A155" s="49"/>
      <c r="B155" s="50"/>
      <c r="C155" s="50"/>
      <c r="D155" s="50"/>
      <c r="E155" s="49"/>
      <c r="F155" s="49"/>
      <c r="G155" s="49"/>
      <c r="H155" s="49"/>
      <c r="I155" s="49"/>
      <c r="J155" s="49"/>
      <c r="K155" s="49"/>
      <c r="L155" s="49"/>
    </row>
    <row r="156" spans="1:12" ht="18" customHeight="1" x14ac:dyDescent="0.25">
      <c r="A156" s="49"/>
      <c r="B156" s="2035" t="s">
        <v>1739</v>
      </c>
      <c r="C156" s="2036"/>
      <c r="D156" s="2036"/>
      <c r="E156" s="2036"/>
      <c r="F156" s="2036"/>
      <c r="G156" s="1097" t="s">
        <v>1737</v>
      </c>
      <c r="H156" s="2030" t="s">
        <v>1738</v>
      </c>
      <c r="I156" s="2031"/>
      <c r="J156" s="49"/>
      <c r="K156" s="49"/>
      <c r="L156" s="49"/>
    </row>
    <row r="157" spans="1:12" ht="24" customHeight="1" x14ac:dyDescent="0.25">
      <c r="A157" s="49"/>
      <c r="B157" s="1576" t="s">
        <v>1087</v>
      </c>
      <c r="C157" s="1577"/>
      <c r="D157" s="1577"/>
      <c r="E157" s="1577"/>
      <c r="F157" s="1578"/>
      <c r="G157" s="565" t="s">
        <v>124</v>
      </c>
      <c r="H157" s="1763"/>
      <c r="I157" s="1841"/>
      <c r="J157" s="49"/>
      <c r="K157" s="49"/>
      <c r="L157" s="49"/>
    </row>
    <row r="158" spans="1:12" ht="24" customHeight="1" x14ac:dyDescent="0.25">
      <c r="A158" s="49"/>
      <c r="B158" s="1576" t="s">
        <v>1528</v>
      </c>
      <c r="C158" s="1577"/>
      <c r="D158" s="1577"/>
      <c r="E158" s="1577"/>
      <c r="F158" s="1578"/>
      <c r="G158" s="865" t="s">
        <v>124</v>
      </c>
      <c r="H158" s="1763"/>
      <c r="I158" s="1841"/>
      <c r="J158" s="49"/>
      <c r="K158" s="49"/>
      <c r="L158" s="49"/>
    </row>
    <row r="159" spans="1:12" ht="19.5" customHeight="1" x14ac:dyDescent="0.25">
      <c r="A159" s="49"/>
      <c r="B159" s="50"/>
      <c r="C159" s="50"/>
      <c r="D159" s="50"/>
      <c r="E159" s="49"/>
      <c r="F159" s="49"/>
      <c r="G159" s="49"/>
      <c r="H159" s="49"/>
      <c r="I159" s="49"/>
      <c r="J159" s="49"/>
      <c r="K159" s="49"/>
      <c r="L159" s="49"/>
    </row>
    <row r="160" spans="1:12" ht="16.5" customHeight="1" x14ac:dyDescent="0.25">
      <c r="A160" s="2068" t="s">
        <v>22</v>
      </c>
      <c r="B160" s="2068"/>
      <c r="C160" s="2068"/>
      <c r="D160" s="50"/>
      <c r="E160" s="49"/>
      <c r="F160" s="49"/>
      <c r="G160" s="49"/>
      <c r="H160" s="49"/>
      <c r="I160" s="49"/>
      <c r="J160" s="49"/>
      <c r="K160" s="49"/>
      <c r="L160" s="49"/>
    </row>
    <row r="161" spans="1:16" ht="16.5" customHeight="1" x14ac:dyDescent="0.25">
      <c r="A161" s="49"/>
      <c r="B161" s="50"/>
      <c r="C161" s="50"/>
      <c r="D161" s="50"/>
      <c r="E161" s="49"/>
      <c r="F161" s="49"/>
      <c r="G161" s="49"/>
      <c r="H161" s="49"/>
      <c r="I161" s="49"/>
      <c r="J161" s="49"/>
      <c r="K161" s="49"/>
      <c r="L161" s="49"/>
    </row>
    <row r="162" spans="1:16" ht="16.5" customHeight="1" x14ac:dyDescent="0.25">
      <c r="A162" s="49"/>
      <c r="B162" s="243" t="s">
        <v>53</v>
      </c>
      <c r="C162" s="1335" t="str">
        <f>IF(D73="Option B: Reverberation Time",IF(D152="Yes",1,0),"")</f>
        <v/>
      </c>
      <c r="D162" s="50"/>
      <c r="E162" s="49"/>
      <c r="F162" s="49"/>
      <c r="G162" s="49"/>
      <c r="H162" s="49"/>
      <c r="I162" s="49"/>
      <c r="J162" s="49"/>
      <c r="K162" s="49"/>
      <c r="L162" s="49"/>
    </row>
    <row r="163" spans="1:16" ht="16.5" customHeight="1" x14ac:dyDescent="0.25">
      <c r="A163" s="49"/>
      <c r="B163" s="244" t="s">
        <v>492</v>
      </c>
      <c r="C163" s="1335" t="str">
        <f>IF(D73="Option B: Reverberation Time",IF(AND(COUNTIF(G157:G158,"Submitted")=2,C162&gt;0),"Yes","No"),"")</f>
        <v/>
      </c>
      <c r="D163" s="50"/>
      <c r="E163" s="49"/>
      <c r="F163" s="49"/>
      <c r="G163" s="49"/>
      <c r="H163" s="49"/>
      <c r="I163" s="49"/>
      <c r="J163" s="49"/>
      <c r="K163" s="49"/>
      <c r="L163" s="49"/>
    </row>
    <row r="164" spans="1:16" ht="17.25" customHeight="1" x14ac:dyDescent="0.25">
      <c r="A164" s="49"/>
      <c r="B164" s="50"/>
      <c r="C164" s="50"/>
      <c r="D164" s="50"/>
      <c r="E164" s="49"/>
      <c r="F164" s="49"/>
      <c r="G164" s="49"/>
      <c r="H164" s="49"/>
      <c r="I164" s="49"/>
      <c r="J164" s="49"/>
      <c r="K164" s="49"/>
      <c r="L164" s="49"/>
    </row>
    <row r="165" spans="1:16" ht="18" customHeight="1" x14ac:dyDescent="0.25">
      <c r="A165" s="2016" t="s">
        <v>2234</v>
      </c>
      <c r="B165" s="2016"/>
      <c r="C165" s="2016"/>
      <c r="D165" s="2016"/>
      <c r="E165" s="2016"/>
      <c r="F165" s="2016"/>
      <c r="G165" s="2016"/>
      <c r="H165" s="2016"/>
      <c r="I165" s="2016"/>
      <c r="J165" s="2016"/>
      <c r="K165" s="2016"/>
      <c r="L165" s="2016"/>
    </row>
    <row r="166" spans="1:16" x14ac:dyDescent="0.25">
      <c r="A166" s="49"/>
      <c r="B166" s="50"/>
      <c r="C166" s="50"/>
      <c r="D166" s="50"/>
      <c r="E166" s="49"/>
      <c r="F166" s="49"/>
      <c r="G166" s="49"/>
      <c r="H166" s="49"/>
      <c r="I166" s="49"/>
      <c r="J166" s="49"/>
      <c r="K166" s="49"/>
      <c r="L166" s="49"/>
    </row>
    <row r="167" spans="1:16" ht="16.5" customHeight="1" x14ac:dyDescent="0.25">
      <c r="A167" s="2068" t="s">
        <v>245</v>
      </c>
      <c r="B167" s="2068"/>
      <c r="C167" s="2068"/>
      <c r="D167" s="50"/>
      <c r="E167" s="49"/>
      <c r="F167" s="49"/>
      <c r="G167" s="49"/>
      <c r="H167" s="49"/>
      <c r="I167" s="49"/>
      <c r="J167" s="49"/>
      <c r="K167" s="49"/>
      <c r="L167" s="49"/>
    </row>
    <row r="168" spans="1:16" x14ac:dyDescent="0.25">
      <c r="A168" s="50"/>
      <c r="B168" s="50"/>
      <c r="C168" s="50"/>
      <c r="D168" s="50"/>
      <c r="E168" s="50"/>
      <c r="F168" s="50"/>
      <c r="G168" s="50"/>
      <c r="H168" s="50"/>
      <c r="I168" s="50"/>
      <c r="J168" s="50"/>
      <c r="K168" s="50"/>
      <c r="L168" s="50"/>
      <c r="M168" s="50"/>
      <c r="N168"/>
      <c r="O168"/>
      <c r="P168"/>
    </row>
    <row r="169" spans="1:16" x14ac:dyDescent="0.25">
      <c r="A169" s="50"/>
      <c r="B169" s="794" t="s">
        <v>2235</v>
      </c>
      <c r="C169" s="50"/>
      <c r="D169" s="50"/>
      <c r="E169" s="50"/>
      <c r="F169" s="50"/>
      <c r="G169" s="50"/>
      <c r="H169" s="50"/>
      <c r="I169" s="50"/>
      <c r="J169" s="50"/>
      <c r="K169" s="50"/>
      <c r="L169" s="50"/>
      <c r="M169" s="50"/>
      <c r="N169"/>
      <c r="O169"/>
      <c r="P169"/>
    </row>
    <row r="170" spans="1:16" x14ac:dyDescent="0.25">
      <c r="A170" s="50"/>
      <c r="B170" s="50"/>
      <c r="C170" s="50"/>
      <c r="D170" s="50"/>
      <c r="E170" s="50"/>
      <c r="F170" s="50"/>
      <c r="G170" s="50"/>
      <c r="H170" s="50"/>
      <c r="I170" s="50"/>
      <c r="J170" s="50"/>
      <c r="K170" s="50"/>
      <c r="L170" s="50"/>
      <c r="M170" s="50"/>
      <c r="N170"/>
      <c r="O170"/>
      <c r="P170"/>
    </row>
    <row r="171" spans="1:16" x14ac:dyDescent="0.25">
      <c r="A171" s="50"/>
      <c r="B171" s="2135" t="s">
        <v>2236</v>
      </c>
      <c r="C171" s="2136"/>
      <c r="D171" s="2136"/>
      <c r="E171" s="2136"/>
      <c r="F171" s="2136"/>
      <c r="G171" s="2136"/>
      <c r="H171" s="2137"/>
      <c r="I171" s="50"/>
      <c r="J171" s="50"/>
      <c r="K171" s="50"/>
      <c r="L171" s="50"/>
      <c r="M171" s="50"/>
      <c r="N171"/>
      <c r="O171"/>
      <c r="P171"/>
    </row>
    <row r="172" spans="1:16" x14ac:dyDescent="0.25">
      <c r="A172" s="50"/>
      <c r="B172" s="2138" t="s">
        <v>2237</v>
      </c>
      <c r="C172" s="2139"/>
      <c r="D172" s="2139"/>
      <c r="E172" s="2139"/>
      <c r="F172" s="2139"/>
      <c r="G172" s="2139"/>
      <c r="H172" s="2140"/>
      <c r="I172" s="50"/>
      <c r="J172" s="50"/>
      <c r="K172" s="50"/>
      <c r="L172" s="50"/>
      <c r="M172" s="50"/>
      <c r="N172"/>
      <c r="O172"/>
      <c r="P172"/>
    </row>
    <row r="173" spans="1:16" x14ac:dyDescent="0.25">
      <c r="A173" s="50"/>
      <c r="B173" s="2138" t="s">
        <v>2238</v>
      </c>
      <c r="C173" s="2139"/>
      <c r="D173" s="2139"/>
      <c r="E173" s="2139"/>
      <c r="F173" s="2139"/>
      <c r="G173" s="2139"/>
      <c r="H173" s="2140"/>
      <c r="I173" s="50"/>
      <c r="J173" s="50"/>
      <c r="K173" s="50"/>
      <c r="L173" s="50"/>
      <c r="M173" s="50"/>
      <c r="N173"/>
      <c r="O173"/>
    </row>
    <row r="174" spans="1:16" x14ac:dyDescent="0.25">
      <c r="A174" s="50"/>
      <c r="B174" s="2138" t="s">
        <v>2239</v>
      </c>
      <c r="C174" s="2139"/>
      <c r="D174" s="2139"/>
      <c r="E174" s="2139"/>
      <c r="F174" s="2139"/>
      <c r="G174" s="2139"/>
      <c r="H174" s="2140"/>
      <c r="I174" s="50"/>
      <c r="J174" s="50"/>
      <c r="K174" s="50"/>
      <c r="L174" s="50"/>
      <c r="M174" s="50"/>
      <c r="N174"/>
      <c r="O174"/>
    </row>
    <row r="175" spans="1:16" x14ac:dyDescent="0.25">
      <c r="A175" s="50"/>
      <c r="B175" s="2141" t="s">
        <v>2240</v>
      </c>
      <c r="C175" s="2142"/>
      <c r="D175" s="2142"/>
      <c r="E175" s="2142"/>
      <c r="F175" s="2142"/>
      <c r="G175" s="2142"/>
      <c r="H175" s="2143"/>
      <c r="I175" s="50"/>
      <c r="J175" s="50"/>
      <c r="K175" s="50"/>
      <c r="L175" s="50"/>
      <c r="M175" s="50"/>
      <c r="N175"/>
      <c r="O175"/>
    </row>
    <row r="176" spans="1:16" ht="15.75" customHeight="1" x14ac:dyDescent="0.25">
      <c r="A176" s="50"/>
      <c r="B176" s="50"/>
      <c r="C176" s="50"/>
      <c r="D176" s="50"/>
      <c r="E176" s="50"/>
      <c r="F176" s="50"/>
      <c r="G176" s="50"/>
      <c r="H176" s="50"/>
      <c r="I176" s="50"/>
      <c r="J176" s="50"/>
      <c r="K176" s="50"/>
      <c r="L176" s="50"/>
      <c r="M176" s="50"/>
      <c r="N176"/>
      <c r="O176"/>
    </row>
    <row r="177" spans="1:15" ht="17.25" customHeight="1" x14ac:dyDescent="0.25">
      <c r="A177" s="2068" t="s">
        <v>23</v>
      </c>
      <c r="B177" s="2068"/>
      <c r="C177" s="2068"/>
      <c r="D177" s="50"/>
      <c r="E177" s="50"/>
      <c r="F177" s="50"/>
      <c r="G177" s="50"/>
      <c r="H177" s="50"/>
      <c r="I177" s="50"/>
      <c r="J177" s="50"/>
      <c r="K177" s="50"/>
      <c r="L177" s="50"/>
      <c r="M177" s="50"/>
      <c r="N177"/>
      <c r="O177"/>
    </row>
    <row r="178" spans="1:15" x14ac:dyDescent="0.25">
      <c r="A178" s="50"/>
      <c r="B178" s="50"/>
      <c r="C178" s="49"/>
      <c r="D178" s="49"/>
      <c r="E178" s="50"/>
      <c r="F178" s="50"/>
      <c r="G178" s="50"/>
      <c r="H178" s="50"/>
      <c r="I178" s="50"/>
      <c r="J178" s="50"/>
      <c r="K178" s="50"/>
      <c r="L178" s="50"/>
      <c r="M178" s="50"/>
      <c r="N178"/>
      <c r="O178"/>
    </row>
    <row r="179" spans="1:15" ht="15" customHeight="1" x14ac:dyDescent="0.25">
      <c r="A179" s="50"/>
      <c r="B179" s="642" t="s">
        <v>2241</v>
      </c>
      <c r="C179" s="49"/>
      <c r="D179" s="49"/>
      <c r="E179" s="50"/>
      <c r="F179" s="50"/>
      <c r="G179" s="50"/>
      <c r="H179" s="50"/>
      <c r="I179" s="50"/>
      <c r="J179" s="50"/>
      <c r="K179" s="50"/>
      <c r="L179" s="50"/>
      <c r="M179" s="50"/>
      <c r="N179"/>
      <c r="O179"/>
    </row>
    <row r="180" spans="1:15" ht="16.5" customHeight="1" x14ac:dyDescent="0.25">
      <c r="A180" s="50"/>
      <c r="B180" s="50"/>
      <c r="C180" s="49"/>
      <c r="D180" s="49"/>
      <c r="E180" s="50"/>
      <c r="F180" s="50"/>
      <c r="G180" s="50"/>
      <c r="H180" s="50"/>
      <c r="I180" s="50"/>
      <c r="J180" s="50"/>
      <c r="K180" s="50"/>
      <c r="L180" s="50"/>
      <c r="M180" s="50"/>
      <c r="N180"/>
      <c r="O180"/>
    </row>
    <row r="181" spans="1:15" ht="15" customHeight="1" x14ac:dyDescent="0.25">
      <c r="A181" s="50"/>
      <c r="B181" s="1818" t="s">
        <v>2242</v>
      </c>
      <c r="C181" s="1818"/>
      <c r="D181" s="1818"/>
      <c r="E181" s="1818"/>
      <c r="F181" s="1818"/>
      <c r="G181" s="1818"/>
      <c r="H181" s="1818"/>
      <c r="I181" s="1818"/>
      <c r="J181" s="1818"/>
      <c r="K181" s="1818"/>
      <c r="L181" s="1818"/>
      <c r="M181" s="50"/>
      <c r="N181"/>
      <c r="O181"/>
    </row>
    <row r="182" spans="1:15" ht="15" customHeight="1" x14ac:dyDescent="0.25">
      <c r="A182" s="50"/>
      <c r="B182" s="1818"/>
      <c r="C182" s="1818"/>
      <c r="D182" s="1818"/>
      <c r="E182" s="1818"/>
      <c r="F182" s="1818"/>
      <c r="G182" s="1818"/>
      <c r="H182" s="1818"/>
      <c r="I182" s="1818"/>
      <c r="J182" s="1818"/>
      <c r="K182" s="1818"/>
      <c r="L182" s="1818"/>
      <c r="M182" s="50"/>
      <c r="N182"/>
      <c r="O182"/>
    </row>
    <row r="183" spans="1:15" ht="12" customHeight="1" x14ac:dyDescent="0.25">
      <c r="A183" s="50"/>
      <c r="B183" s="50"/>
      <c r="C183" s="49"/>
      <c r="D183" s="49"/>
      <c r="E183" s="50"/>
      <c r="F183" s="50"/>
      <c r="G183" s="50"/>
      <c r="H183" s="50"/>
      <c r="I183" s="50"/>
      <c r="J183" s="50"/>
      <c r="K183" s="50"/>
      <c r="L183" s="50"/>
      <c r="M183" s="50"/>
      <c r="N183"/>
      <c r="O183"/>
    </row>
    <row r="184" spans="1:15" x14ac:dyDescent="0.25">
      <c r="A184" s="50"/>
      <c r="B184" s="1023" t="s">
        <v>2243</v>
      </c>
      <c r="C184" s="49"/>
      <c r="D184" s="49"/>
      <c r="E184" s="50"/>
      <c r="F184" s="50"/>
      <c r="G184" s="50"/>
      <c r="H184" s="50"/>
      <c r="I184" s="50"/>
      <c r="J184" s="50"/>
      <c r="K184" s="50"/>
      <c r="L184" s="50"/>
      <c r="M184" s="50"/>
      <c r="N184"/>
      <c r="O184"/>
    </row>
    <row r="185" spans="1:15" ht="12" customHeight="1" x14ac:dyDescent="0.25">
      <c r="A185" s="50"/>
      <c r="B185" s="50"/>
      <c r="C185" s="49"/>
      <c r="D185" s="49"/>
      <c r="E185" s="50"/>
      <c r="F185" s="50"/>
      <c r="G185" s="50"/>
      <c r="H185" s="50"/>
      <c r="I185" s="50"/>
      <c r="J185" s="50"/>
      <c r="K185" s="50"/>
      <c r="L185" s="50"/>
      <c r="M185" s="50"/>
      <c r="N185"/>
      <c r="O185"/>
    </row>
    <row r="186" spans="1:15" ht="15" customHeight="1" x14ac:dyDescent="0.25">
      <c r="A186" s="50"/>
      <c r="B186" s="2110" t="s">
        <v>1845</v>
      </c>
      <c r="C186" s="2088" t="s">
        <v>1802</v>
      </c>
      <c r="D186" s="2088" t="s">
        <v>2244</v>
      </c>
      <c r="E186" s="2088" t="s">
        <v>2245</v>
      </c>
      <c r="F186" s="2088" t="s">
        <v>2246</v>
      </c>
      <c r="G186" s="2088"/>
      <c r="H186" s="2088" t="s">
        <v>2247</v>
      </c>
      <c r="I186" s="2088" t="s">
        <v>1804</v>
      </c>
      <c r="J186" s="50"/>
      <c r="K186" s="50"/>
      <c r="L186" s="50"/>
      <c r="M186" s="50"/>
      <c r="N186"/>
    </row>
    <row r="187" spans="1:15" ht="15" customHeight="1" x14ac:dyDescent="0.25">
      <c r="A187" s="50"/>
      <c r="B187" s="2111"/>
      <c r="C187" s="2089"/>
      <c r="D187" s="2089"/>
      <c r="E187" s="2089"/>
      <c r="F187" s="2089"/>
      <c r="G187" s="2089"/>
      <c r="H187" s="2089"/>
      <c r="I187" s="2089"/>
      <c r="J187" s="50"/>
      <c r="K187" s="50"/>
      <c r="L187" s="50"/>
      <c r="M187" s="50"/>
      <c r="N187"/>
    </row>
    <row r="188" spans="1:15" x14ac:dyDescent="0.25">
      <c r="A188" s="50"/>
      <c r="B188" s="2129"/>
      <c r="C188" s="2129"/>
      <c r="D188" s="382"/>
      <c r="E188" s="382" t="s">
        <v>124</v>
      </c>
      <c r="F188" s="2017" t="s">
        <v>124</v>
      </c>
      <c r="G188" s="2018"/>
      <c r="H188" s="2132">
        <f>IF(AND(E188&lt;&gt;"Select",E188&lt;&gt;F188,F188&lt;&gt;"Select",F188&lt;&gt;"",E188&lt;&gt;""),D188,0)+IF(AND(E189&lt;&gt;"Select",E189&lt;&gt;F189,F189&lt;&gt;"Select",F189&lt;&gt;"",E189&lt;&gt;""),D189,0)+IF(AND(E190&lt;&gt;"Select",E190&lt;&gt;F190,F190&lt;&gt;"Select",F190&lt;&gt;"",E190&lt;&gt;""),D190,0)</f>
        <v>0</v>
      </c>
      <c r="I188" s="2132">
        <f>IFERROR(IF(H188&gt;=0.75*C188,C188,H188),"")</f>
        <v>0</v>
      </c>
      <c r="J188" s="50"/>
      <c r="K188" s="50"/>
      <c r="L188" s="50"/>
      <c r="M188" s="50"/>
      <c r="N188"/>
    </row>
    <row r="189" spans="1:15" x14ac:dyDescent="0.25">
      <c r="A189" s="50"/>
      <c r="B189" s="2130"/>
      <c r="C189" s="2130"/>
      <c r="D189" s="382"/>
      <c r="E189" s="382" t="s">
        <v>124</v>
      </c>
      <c r="F189" s="2017" t="s">
        <v>124</v>
      </c>
      <c r="G189" s="2018"/>
      <c r="H189" s="2133"/>
      <c r="I189" s="2133"/>
      <c r="J189" s="50"/>
      <c r="K189" s="50"/>
      <c r="L189" s="50"/>
      <c r="M189" s="50"/>
      <c r="N189"/>
    </row>
    <row r="190" spans="1:15" x14ac:dyDescent="0.25">
      <c r="A190" s="50"/>
      <c r="B190" s="2131"/>
      <c r="C190" s="2131"/>
      <c r="D190" s="1171"/>
      <c r="E190" s="382" t="s">
        <v>124</v>
      </c>
      <c r="F190" s="2017" t="s">
        <v>124</v>
      </c>
      <c r="G190" s="2018"/>
      <c r="H190" s="2134"/>
      <c r="I190" s="2134"/>
      <c r="J190" s="50"/>
      <c r="K190" s="50"/>
      <c r="L190" s="50"/>
      <c r="M190" s="50"/>
      <c r="N190"/>
    </row>
    <row r="191" spans="1:15" x14ac:dyDescent="0.25">
      <c r="A191" s="50"/>
      <c r="B191" s="2129"/>
      <c r="C191" s="2129"/>
      <c r="D191" s="382"/>
      <c r="E191" s="382" t="s">
        <v>124</v>
      </c>
      <c r="F191" s="2017" t="s">
        <v>124</v>
      </c>
      <c r="G191" s="2018"/>
      <c r="H191" s="2132">
        <f>IF(AND(E191&lt;&gt;"Select",E191&lt;&gt;F191,F191&lt;&gt;"Select",F191&lt;&gt;"",E191&lt;&gt;""),D191,0)+IF(AND(E192&lt;&gt;"Select",E192&lt;&gt;F192,F192&lt;&gt;"Select",F192&lt;&gt;"",E192&lt;&gt;""),D192,0)+IF(AND(E193&lt;&gt;"Select",E193&lt;&gt;F193,F193&lt;&gt;"Select",F193&lt;&gt;"",E193&lt;&gt;""),D193,0)</f>
        <v>0</v>
      </c>
      <c r="I191" s="2132">
        <f>IFERROR(IF(H191&gt;=0.75*C191,C191,H191),"")</f>
        <v>0</v>
      </c>
      <c r="J191" s="50"/>
      <c r="K191" s="50"/>
      <c r="L191" s="50"/>
      <c r="M191" s="50"/>
      <c r="N191"/>
    </row>
    <row r="192" spans="1:15" x14ac:dyDescent="0.25">
      <c r="A192" s="50"/>
      <c r="B192" s="2130"/>
      <c r="C192" s="2130"/>
      <c r="D192" s="382"/>
      <c r="E192" s="382" t="s">
        <v>124</v>
      </c>
      <c r="F192" s="2017" t="s">
        <v>124</v>
      </c>
      <c r="G192" s="2018"/>
      <c r="H192" s="2133"/>
      <c r="I192" s="2133"/>
      <c r="J192" s="50"/>
      <c r="K192" s="50"/>
      <c r="L192" s="50"/>
      <c r="M192" s="50"/>
      <c r="N192"/>
    </row>
    <row r="193" spans="1:14" x14ac:dyDescent="0.25">
      <c r="A193" s="50"/>
      <c r="B193" s="2131"/>
      <c r="C193" s="2131"/>
      <c r="D193" s="1171"/>
      <c r="E193" s="382" t="s">
        <v>124</v>
      </c>
      <c r="F193" s="2017" t="s">
        <v>124</v>
      </c>
      <c r="G193" s="2018"/>
      <c r="H193" s="2134"/>
      <c r="I193" s="2134"/>
      <c r="J193" s="50"/>
      <c r="K193" s="50"/>
      <c r="L193" s="50"/>
      <c r="M193" s="50"/>
      <c r="N193"/>
    </row>
    <row r="194" spans="1:14" x14ac:dyDescent="0.25">
      <c r="A194" s="50"/>
      <c r="B194" s="2129"/>
      <c r="C194" s="2129"/>
      <c r="D194" s="382"/>
      <c r="E194" s="382" t="s">
        <v>124</v>
      </c>
      <c r="F194" s="2017" t="s">
        <v>124</v>
      </c>
      <c r="G194" s="2018"/>
      <c r="H194" s="2132">
        <f>IF(AND(E194&lt;&gt;"Select",E194&lt;&gt;F194,F194&lt;&gt;"Select",F194&lt;&gt;"",E194&lt;&gt;""),D194,0)+IF(AND(E195&lt;&gt;"Select",E195&lt;&gt;F195,F195&lt;&gt;"Select",F195&lt;&gt;"",E195&lt;&gt;""),D195,0)+IF(AND(E196&lt;&gt;"Select",E196&lt;&gt;F196,F196&lt;&gt;"Select",F196&lt;&gt;"",E196&lt;&gt;""),D196,0)</f>
        <v>0</v>
      </c>
      <c r="I194" s="2132">
        <f>IFERROR(IF(H194&gt;=0.75*C194,C194,H194),"")</f>
        <v>0</v>
      </c>
      <c r="J194" s="50"/>
      <c r="K194" s="50"/>
      <c r="L194" s="50"/>
      <c r="M194" s="50"/>
      <c r="N194"/>
    </row>
    <row r="195" spans="1:14" x14ac:dyDescent="0.25">
      <c r="A195" s="50"/>
      <c r="B195" s="2130"/>
      <c r="C195" s="2130"/>
      <c r="D195" s="382"/>
      <c r="E195" s="382" t="s">
        <v>124</v>
      </c>
      <c r="F195" s="2017" t="s">
        <v>124</v>
      </c>
      <c r="G195" s="2018"/>
      <c r="H195" s="2133"/>
      <c r="I195" s="2133"/>
      <c r="J195" s="50"/>
      <c r="K195" s="50"/>
      <c r="L195" s="50"/>
      <c r="M195" s="50"/>
      <c r="N195"/>
    </row>
    <row r="196" spans="1:14" x14ac:dyDescent="0.25">
      <c r="A196" s="50"/>
      <c r="B196" s="2131"/>
      <c r="C196" s="2131"/>
      <c r="D196" s="1171"/>
      <c r="E196" s="382" t="s">
        <v>124</v>
      </c>
      <c r="F196" s="2017" t="s">
        <v>124</v>
      </c>
      <c r="G196" s="2018"/>
      <c r="H196" s="2134"/>
      <c r="I196" s="2134"/>
      <c r="J196" s="50"/>
      <c r="K196" s="50"/>
      <c r="L196" s="50"/>
      <c r="M196" s="50"/>
      <c r="N196"/>
    </row>
    <row r="197" spans="1:14" x14ac:dyDescent="0.25">
      <c r="A197" s="50"/>
      <c r="B197" s="2129"/>
      <c r="C197" s="2129"/>
      <c r="D197" s="382"/>
      <c r="E197" s="382" t="s">
        <v>124</v>
      </c>
      <c r="F197" s="2017" t="s">
        <v>124</v>
      </c>
      <c r="G197" s="2018"/>
      <c r="H197" s="2132">
        <f>IF(AND(E197&lt;&gt;"Select",E197&lt;&gt;F197,F197&lt;&gt;"Select",F197&lt;&gt;"",E197&lt;&gt;""),D197,0)+IF(AND(E198&lt;&gt;"Select",E198&lt;&gt;F198,F198&lt;&gt;"Select",F198&lt;&gt;"",E198&lt;&gt;""),D198,0)+IF(AND(E199&lt;&gt;"Select",E199&lt;&gt;F199,F199&lt;&gt;"Select",F199&lt;&gt;"",E199&lt;&gt;""),D199,0)</f>
        <v>0</v>
      </c>
      <c r="I197" s="2132">
        <f>IFERROR(IF(H197&gt;=0.75*C197,C197,H197),"")</f>
        <v>0</v>
      </c>
      <c r="J197" s="50"/>
      <c r="K197" s="50"/>
      <c r="L197" s="50"/>
      <c r="M197" s="50"/>
      <c r="N197"/>
    </row>
    <row r="198" spans="1:14" x14ac:dyDescent="0.25">
      <c r="A198" s="50"/>
      <c r="B198" s="2130"/>
      <c r="C198" s="2130"/>
      <c r="D198" s="382"/>
      <c r="E198" s="382" t="s">
        <v>124</v>
      </c>
      <c r="F198" s="2017" t="s">
        <v>124</v>
      </c>
      <c r="G198" s="2018"/>
      <c r="H198" s="2133"/>
      <c r="I198" s="2133"/>
      <c r="J198" s="50"/>
      <c r="K198" s="50"/>
      <c r="L198" s="50"/>
      <c r="M198" s="50"/>
      <c r="N198"/>
    </row>
    <row r="199" spans="1:14" x14ac:dyDescent="0.25">
      <c r="A199" s="50"/>
      <c r="B199" s="2131"/>
      <c r="C199" s="2131"/>
      <c r="D199" s="1171"/>
      <c r="E199" s="382" t="s">
        <v>124</v>
      </c>
      <c r="F199" s="2017" t="s">
        <v>124</v>
      </c>
      <c r="G199" s="2018"/>
      <c r="H199" s="2134"/>
      <c r="I199" s="2134"/>
      <c r="J199" s="50"/>
      <c r="K199" s="50"/>
      <c r="L199" s="50"/>
      <c r="M199" s="50"/>
      <c r="N199"/>
    </row>
    <row r="200" spans="1:14" x14ac:dyDescent="0.25">
      <c r="A200" s="50"/>
      <c r="B200" s="2129"/>
      <c r="C200" s="2129"/>
      <c r="D200" s="382"/>
      <c r="E200" s="382" t="s">
        <v>124</v>
      </c>
      <c r="F200" s="2017" t="s">
        <v>124</v>
      </c>
      <c r="G200" s="2018"/>
      <c r="H200" s="2132">
        <f>IF(AND(E200&lt;&gt;"Select",E200&lt;&gt;F200,F200&lt;&gt;"Select",F200&lt;&gt;"",E200&lt;&gt;""),D200,0)+IF(AND(E201&lt;&gt;"Select",E201&lt;&gt;F201,F201&lt;&gt;"Select",F201&lt;&gt;"",E201&lt;&gt;""),D201,0)+IF(AND(E202&lt;&gt;"Select",E202&lt;&gt;F202,F202&lt;&gt;"Select",F202&lt;&gt;"",E202&lt;&gt;""),D202,0)</f>
        <v>0</v>
      </c>
      <c r="I200" s="2132">
        <f>IFERROR(IF(H200&gt;=0.75*C200,C200,H200),"")</f>
        <v>0</v>
      </c>
      <c r="J200" s="50"/>
      <c r="K200" s="50"/>
      <c r="L200" s="50"/>
      <c r="M200" s="50"/>
      <c r="N200"/>
    </row>
    <row r="201" spans="1:14" x14ac:dyDescent="0.25">
      <c r="A201" s="50"/>
      <c r="B201" s="2130"/>
      <c r="C201" s="2130"/>
      <c r="D201" s="382"/>
      <c r="E201" s="382" t="s">
        <v>124</v>
      </c>
      <c r="F201" s="2017" t="s">
        <v>124</v>
      </c>
      <c r="G201" s="2018"/>
      <c r="H201" s="2133"/>
      <c r="I201" s="2133"/>
      <c r="J201" s="50"/>
      <c r="K201" s="50"/>
      <c r="L201" s="50"/>
      <c r="M201" s="50"/>
      <c r="N201"/>
    </row>
    <row r="202" spans="1:14" x14ac:dyDescent="0.25">
      <c r="A202" s="50"/>
      <c r="B202" s="2131"/>
      <c r="C202" s="2131"/>
      <c r="D202" s="1171"/>
      <c r="E202" s="382" t="s">
        <v>124</v>
      </c>
      <c r="F202" s="2017" t="s">
        <v>124</v>
      </c>
      <c r="G202" s="2018"/>
      <c r="H202" s="2134"/>
      <c r="I202" s="2134"/>
      <c r="J202" s="50"/>
      <c r="K202" s="50"/>
      <c r="L202" s="50"/>
      <c r="M202" s="50"/>
      <c r="N202"/>
    </row>
    <row r="203" spans="1:14" x14ac:dyDescent="0.25">
      <c r="A203" s="50"/>
      <c r="B203" s="2129"/>
      <c r="C203" s="2129"/>
      <c r="D203" s="382"/>
      <c r="E203" s="382" t="s">
        <v>124</v>
      </c>
      <c r="F203" s="2017" t="s">
        <v>124</v>
      </c>
      <c r="G203" s="2018"/>
      <c r="H203" s="2132">
        <f>IF(AND(E203&lt;&gt;"Select",E203&lt;&gt;F203,F203&lt;&gt;"Select",F203&lt;&gt;"",E203&lt;&gt;""),D203,0)+IF(AND(E204&lt;&gt;"Select",E204&lt;&gt;F204,F204&lt;&gt;"Select",F204&lt;&gt;"",E204&lt;&gt;""),D204,0)+IF(AND(E205&lt;&gt;"Select",E205&lt;&gt;F205,F205&lt;&gt;"Select",F205&lt;&gt;"",E205&lt;&gt;""),D205,0)</f>
        <v>0</v>
      </c>
      <c r="I203" s="2132">
        <f>IFERROR(IF(H203&gt;=0.75*C203,C203,H203),"")</f>
        <v>0</v>
      </c>
      <c r="J203" s="50"/>
      <c r="K203" s="50"/>
      <c r="L203" s="50"/>
      <c r="M203" s="50"/>
      <c r="N203"/>
    </row>
    <row r="204" spans="1:14" x14ac:dyDescent="0.25">
      <c r="A204" s="50"/>
      <c r="B204" s="2130"/>
      <c r="C204" s="2130"/>
      <c r="D204" s="382"/>
      <c r="E204" s="382" t="s">
        <v>124</v>
      </c>
      <c r="F204" s="2017" t="s">
        <v>124</v>
      </c>
      <c r="G204" s="2018"/>
      <c r="H204" s="2133"/>
      <c r="I204" s="2133"/>
      <c r="J204" s="50"/>
      <c r="K204" s="50"/>
      <c r="L204" s="50"/>
      <c r="M204" s="50"/>
      <c r="N204"/>
    </row>
    <row r="205" spans="1:14" x14ac:dyDescent="0.25">
      <c r="A205" s="50"/>
      <c r="B205" s="2131"/>
      <c r="C205" s="2131"/>
      <c r="D205" s="1171"/>
      <c r="E205" s="382" t="s">
        <v>124</v>
      </c>
      <c r="F205" s="2017" t="s">
        <v>124</v>
      </c>
      <c r="G205" s="2018"/>
      <c r="H205" s="2134"/>
      <c r="I205" s="2134"/>
      <c r="J205" s="50"/>
      <c r="K205" s="50"/>
      <c r="L205" s="50"/>
      <c r="M205" s="50"/>
      <c r="N205"/>
    </row>
    <row r="206" spans="1:14" x14ac:dyDescent="0.25">
      <c r="A206" s="50"/>
      <c r="B206" s="2129"/>
      <c r="C206" s="2129"/>
      <c r="D206" s="382"/>
      <c r="E206" s="382" t="s">
        <v>124</v>
      </c>
      <c r="F206" s="2017" t="s">
        <v>124</v>
      </c>
      <c r="G206" s="2018"/>
      <c r="H206" s="2132">
        <f>IF(AND(E206&lt;&gt;"Select",E206&lt;&gt;F206,F206&lt;&gt;"Select",F206&lt;&gt;"",E206&lt;&gt;""),D206,0)+IF(AND(E207&lt;&gt;"Select",E207&lt;&gt;F207,F207&lt;&gt;"Select",F207&lt;&gt;"",E207&lt;&gt;""),D207,0)+IF(AND(E208&lt;&gt;"Select",E208&lt;&gt;F208,F208&lt;&gt;"Select",F208&lt;&gt;"",E208&lt;&gt;""),D208,0)</f>
        <v>0</v>
      </c>
      <c r="I206" s="2132">
        <f>IFERROR(IF(H206&gt;=0.75*C206,C206,H206),"")</f>
        <v>0</v>
      </c>
      <c r="J206" s="50"/>
      <c r="K206" s="50"/>
      <c r="L206" s="50"/>
      <c r="M206" s="50"/>
      <c r="N206"/>
    </row>
    <row r="207" spans="1:14" x14ac:dyDescent="0.25">
      <c r="A207" s="50"/>
      <c r="B207" s="2130"/>
      <c r="C207" s="2130"/>
      <c r="D207" s="382"/>
      <c r="E207" s="382" t="s">
        <v>124</v>
      </c>
      <c r="F207" s="2017" t="s">
        <v>124</v>
      </c>
      <c r="G207" s="2018"/>
      <c r="H207" s="2133"/>
      <c r="I207" s="2133"/>
      <c r="J207" s="50"/>
      <c r="K207" s="50"/>
      <c r="L207" s="50"/>
      <c r="M207" s="50"/>
      <c r="N207"/>
    </row>
    <row r="208" spans="1:14" x14ac:dyDescent="0.25">
      <c r="A208" s="50"/>
      <c r="B208" s="2131"/>
      <c r="C208" s="2131"/>
      <c r="D208" s="1171"/>
      <c r="E208" s="382" t="s">
        <v>124</v>
      </c>
      <c r="F208" s="2017" t="s">
        <v>124</v>
      </c>
      <c r="G208" s="2018"/>
      <c r="H208" s="2134"/>
      <c r="I208" s="2134"/>
      <c r="J208" s="50"/>
      <c r="K208" s="50"/>
      <c r="L208" s="50"/>
      <c r="M208" s="50"/>
      <c r="N208"/>
    </row>
    <row r="209" spans="1:14" x14ac:dyDescent="0.25">
      <c r="A209" s="50"/>
      <c r="B209" s="2129"/>
      <c r="C209" s="2129"/>
      <c r="D209" s="382"/>
      <c r="E209" s="382" t="s">
        <v>124</v>
      </c>
      <c r="F209" s="2017" t="s">
        <v>124</v>
      </c>
      <c r="G209" s="2018"/>
      <c r="H209" s="2132">
        <f>IF(AND(E209&lt;&gt;"Select",E209&lt;&gt;F209,F209&lt;&gt;"Select",F209&lt;&gt;"",E209&lt;&gt;""),D209,0)+IF(AND(E210&lt;&gt;"Select",E210&lt;&gt;F210,F210&lt;&gt;"Select",F210&lt;&gt;"",E210&lt;&gt;""),D210,0)+IF(AND(E211&lt;&gt;"Select",E211&lt;&gt;F211,F211&lt;&gt;"Select",F211&lt;&gt;"",E211&lt;&gt;""),D211,0)</f>
        <v>0</v>
      </c>
      <c r="I209" s="2132">
        <f>IFERROR(IF(H209&gt;=0.75*C209,C209,H209),"")</f>
        <v>0</v>
      </c>
      <c r="J209" s="50"/>
      <c r="K209" s="50"/>
      <c r="L209" s="50"/>
      <c r="M209" s="50"/>
      <c r="N209"/>
    </row>
    <row r="210" spans="1:14" x14ac:dyDescent="0.25">
      <c r="A210" s="50"/>
      <c r="B210" s="2130"/>
      <c r="C210" s="2130"/>
      <c r="D210" s="382"/>
      <c r="E210" s="382" t="s">
        <v>124</v>
      </c>
      <c r="F210" s="2017" t="s">
        <v>124</v>
      </c>
      <c r="G210" s="2018"/>
      <c r="H210" s="2133"/>
      <c r="I210" s="2133"/>
      <c r="J210" s="50"/>
      <c r="K210" s="50"/>
      <c r="L210" s="50"/>
      <c r="M210" s="50"/>
      <c r="N210"/>
    </row>
    <row r="211" spans="1:14" x14ac:dyDescent="0.25">
      <c r="A211" s="50"/>
      <c r="B211" s="2131"/>
      <c r="C211" s="2131"/>
      <c r="D211" s="1171"/>
      <c r="E211" s="382" t="s">
        <v>124</v>
      </c>
      <c r="F211" s="2017" t="s">
        <v>124</v>
      </c>
      <c r="G211" s="2018"/>
      <c r="H211" s="2134"/>
      <c r="I211" s="2134"/>
      <c r="J211" s="50"/>
      <c r="K211" s="50"/>
      <c r="L211" s="50"/>
      <c r="M211" s="50"/>
      <c r="N211"/>
    </row>
    <row r="212" spans="1:14" x14ac:dyDescent="0.25">
      <c r="A212" s="50"/>
      <c r="B212" s="2129"/>
      <c r="C212" s="2129"/>
      <c r="D212" s="382"/>
      <c r="E212" s="382" t="s">
        <v>124</v>
      </c>
      <c r="F212" s="2017" t="s">
        <v>124</v>
      </c>
      <c r="G212" s="2018"/>
      <c r="H212" s="2132">
        <f>IF(AND(E212&lt;&gt;"Select",E212&lt;&gt;F212,F212&lt;&gt;"Select",F212&lt;&gt;"",E212&lt;&gt;""),D212,0)+IF(AND(E213&lt;&gt;"Select",E213&lt;&gt;F213,F213&lt;&gt;"Select",F213&lt;&gt;"",E213&lt;&gt;""),D213,0)+IF(AND(E214&lt;&gt;"Select",E214&lt;&gt;F214,F214&lt;&gt;"Select",F214&lt;&gt;"",E214&lt;&gt;""),D214,0)</f>
        <v>0</v>
      </c>
      <c r="I212" s="2132">
        <f>IFERROR(IF(H212&gt;=0.75*C212,C212,H212),"")</f>
        <v>0</v>
      </c>
      <c r="J212" s="50"/>
      <c r="K212" s="50"/>
      <c r="L212" s="50"/>
      <c r="M212" s="50"/>
      <c r="N212"/>
    </row>
    <row r="213" spans="1:14" x14ac:dyDescent="0.25">
      <c r="A213" s="50"/>
      <c r="B213" s="2130"/>
      <c r="C213" s="2130"/>
      <c r="D213" s="382"/>
      <c r="E213" s="382" t="s">
        <v>124</v>
      </c>
      <c r="F213" s="2017" t="s">
        <v>124</v>
      </c>
      <c r="G213" s="2018"/>
      <c r="H213" s="2133"/>
      <c r="I213" s="2133"/>
      <c r="J213" s="50"/>
      <c r="K213" s="50"/>
      <c r="L213" s="50"/>
      <c r="M213" s="50"/>
      <c r="N213"/>
    </row>
    <row r="214" spans="1:14" x14ac:dyDescent="0.25">
      <c r="A214" s="50"/>
      <c r="B214" s="2131"/>
      <c r="C214" s="2131"/>
      <c r="D214" s="1171"/>
      <c r="E214" s="382" t="s">
        <v>124</v>
      </c>
      <c r="F214" s="2017" t="s">
        <v>124</v>
      </c>
      <c r="G214" s="2018"/>
      <c r="H214" s="2134"/>
      <c r="I214" s="2134"/>
      <c r="J214" s="50"/>
      <c r="K214" s="50"/>
      <c r="L214" s="50"/>
      <c r="M214" s="50"/>
      <c r="N214"/>
    </row>
    <row r="215" spans="1:14" x14ac:dyDescent="0.25">
      <c r="A215" s="50"/>
      <c r="B215" s="2129"/>
      <c r="C215" s="2129"/>
      <c r="D215" s="382"/>
      <c r="E215" s="382" t="s">
        <v>124</v>
      </c>
      <c r="F215" s="2017" t="s">
        <v>124</v>
      </c>
      <c r="G215" s="2018"/>
      <c r="H215" s="2132">
        <f>IF(AND(E215&lt;&gt;"Select",E215&lt;&gt;F215,F215&lt;&gt;"Select",F215&lt;&gt;"",E215&lt;&gt;""),D215,0)+IF(AND(E216&lt;&gt;"Select",E216&lt;&gt;F216,F216&lt;&gt;"Select",F216&lt;&gt;"",E216&lt;&gt;""),D216,0)+IF(AND(E217&lt;&gt;"Select",E217&lt;&gt;F217,F217&lt;&gt;"Select",F217&lt;&gt;"",E217&lt;&gt;""),D217,0)</f>
        <v>0</v>
      </c>
      <c r="I215" s="2132">
        <f>IFERROR(IF(H215&gt;=0.75*C215,C215,H215),"")</f>
        <v>0</v>
      </c>
      <c r="J215" s="50"/>
      <c r="K215" s="50"/>
      <c r="L215" s="50"/>
      <c r="M215" s="50"/>
      <c r="N215"/>
    </row>
    <row r="216" spans="1:14" x14ac:dyDescent="0.25">
      <c r="A216" s="50"/>
      <c r="B216" s="2130"/>
      <c r="C216" s="2130"/>
      <c r="D216" s="382"/>
      <c r="E216" s="382" t="s">
        <v>124</v>
      </c>
      <c r="F216" s="2017" t="s">
        <v>124</v>
      </c>
      <c r="G216" s="2018"/>
      <c r="H216" s="2133"/>
      <c r="I216" s="2133"/>
      <c r="J216" s="50"/>
      <c r="K216" s="50"/>
      <c r="L216" s="50"/>
      <c r="M216" s="50"/>
      <c r="N216"/>
    </row>
    <row r="217" spans="1:14" x14ac:dyDescent="0.25">
      <c r="A217" s="50"/>
      <c r="B217" s="2131"/>
      <c r="C217" s="2131"/>
      <c r="D217" s="1171"/>
      <c r="E217" s="382" t="s">
        <v>124</v>
      </c>
      <c r="F217" s="2017" t="s">
        <v>124</v>
      </c>
      <c r="G217" s="2018"/>
      <c r="H217" s="2134"/>
      <c r="I217" s="2134"/>
      <c r="J217" s="50"/>
      <c r="K217" s="50"/>
      <c r="L217" s="50"/>
      <c r="M217" s="50"/>
      <c r="N217"/>
    </row>
    <row r="218" spans="1:14" x14ac:dyDescent="0.25">
      <c r="A218" s="50"/>
      <c r="B218" s="2129"/>
      <c r="C218" s="2129"/>
      <c r="D218" s="382"/>
      <c r="E218" s="382" t="s">
        <v>124</v>
      </c>
      <c r="F218" s="2017" t="s">
        <v>124</v>
      </c>
      <c r="G218" s="2018"/>
      <c r="H218" s="2132">
        <f>IF(AND(E218&lt;&gt;"Select",E218&lt;&gt;F218,F218&lt;&gt;"Select",F218&lt;&gt;"",E218&lt;&gt;""),D218,0)+IF(AND(E219&lt;&gt;"Select",E219&lt;&gt;F219,F219&lt;&gt;"Select",F219&lt;&gt;"",E219&lt;&gt;""),D219,0)+IF(AND(E220&lt;&gt;"Select",E220&lt;&gt;F220,F220&lt;&gt;"Select",F220&lt;&gt;"",E220&lt;&gt;""),D220,0)</f>
        <v>0</v>
      </c>
      <c r="I218" s="2132">
        <f>IFERROR(IF(H218&gt;=0.75*C218,C218,H218),"")</f>
        <v>0</v>
      </c>
      <c r="J218" s="50"/>
      <c r="K218" s="50"/>
      <c r="L218" s="50"/>
      <c r="M218" s="50"/>
      <c r="N218"/>
    </row>
    <row r="219" spans="1:14" x14ac:dyDescent="0.25">
      <c r="A219" s="50"/>
      <c r="B219" s="2130"/>
      <c r="C219" s="2130"/>
      <c r="D219" s="382"/>
      <c r="E219" s="382" t="s">
        <v>124</v>
      </c>
      <c r="F219" s="2017" t="s">
        <v>124</v>
      </c>
      <c r="G219" s="2018"/>
      <c r="H219" s="2133"/>
      <c r="I219" s="2133"/>
      <c r="J219" s="50"/>
      <c r="K219" s="50"/>
      <c r="L219" s="50"/>
      <c r="M219" s="50"/>
      <c r="N219"/>
    </row>
    <row r="220" spans="1:14" x14ac:dyDescent="0.25">
      <c r="A220" s="50"/>
      <c r="B220" s="2131"/>
      <c r="C220" s="2131"/>
      <c r="D220" s="1171"/>
      <c r="E220" s="382" t="s">
        <v>124</v>
      </c>
      <c r="F220" s="2017" t="s">
        <v>124</v>
      </c>
      <c r="G220" s="2018"/>
      <c r="H220" s="2134"/>
      <c r="I220" s="2134"/>
      <c r="J220" s="50"/>
      <c r="K220" s="50"/>
      <c r="L220" s="50"/>
      <c r="M220" s="50"/>
      <c r="N220"/>
    </row>
    <row r="221" spans="1:14" x14ac:dyDescent="0.25">
      <c r="A221" s="50"/>
      <c r="B221" s="2129"/>
      <c r="C221" s="2129"/>
      <c r="D221" s="382"/>
      <c r="E221" s="382" t="s">
        <v>124</v>
      </c>
      <c r="F221" s="2017" t="s">
        <v>124</v>
      </c>
      <c r="G221" s="2018"/>
      <c r="H221" s="2132">
        <f>IF(AND(E221&lt;&gt;"Select",E221&lt;&gt;F221,F221&lt;&gt;"Select",F221&lt;&gt;"",E221&lt;&gt;""),D221,0)+IF(AND(E222&lt;&gt;"Select",E222&lt;&gt;F222,F222&lt;&gt;"Select",F222&lt;&gt;"",E222&lt;&gt;""),D222,0)+IF(AND(E223&lt;&gt;"Select",E223&lt;&gt;F223,F223&lt;&gt;"Select",F223&lt;&gt;"",E223&lt;&gt;""),D223,0)</f>
        <v>0</v>
      </c>
      <c r="I221" s="2132">
        <f>IFERROR(IF(H221&gt;=0.75*C221,C221,H221),"")</f>
        <v>0</v>
      </c>
      <c r="J221" s="50"/>
      <c r="K221" s="50"/>
      <c r="L221" s="50"/>
      <c r="M221" s="50"/>
      <c r="N221"/>
    </row>
    <row r="222" spans="1:14" x14ac:dyDescent="0.25">
      <c r="A222" s="50"/>
      <c r="B222" s="2130"/>
      <c r="C222" s="2130"/>
      <c r="D222" s="382"/>
      <c r="E222" s="382" t="s">
        <v>124</v>
      </c>
      <c r="F222" s="2017" t="s">
        <v>124</v>
      </c>
      <c r="G222" s="2018"/>
      <c r="H222" s="2133"/>
      <c r="I222" s="2133"/>
      <c r="J222" s="50"/>
      <c r="K222" s="50"/>
      <c r="L222" s="50"/>
      <c r="M222" s="50"/>
      <c r="N222"/>
    </row>
    <row r="223" spans="1:14" x14ac:dyDescent="0.25">
      <c r="A223" s="50"/>
      <c r="B223" s="2131"/>
      <c r="C223" s="2131"/>
      <c r="D223" s="1171"/>
      <c r="E223" s="382" t="s">
        <v>124</v>
      </c>
      <c r="F223" s="2017" t="s">
        <v>124</v>
      </c>
      <c r="G223" s="2018"/>
      <c r="H223" s="2134"/>
      <c r="I223" s="2134"/>
      <c r="J223" s="50"/>
      <c r="K223" s="50"/>
      <c r="L223" s="50"/>
      <c r="M223" s="50"/>
      <c r="N223"/>
    </row>
    <row r="224" spans="1:14" x14ac:dyDescent="0.25">
      <c r="A224" s="50"/>
      <c r="B224" s="2129"/>
      <c r="C224" s="2129"/>
      <c r="D224" s="382"/>
      <c r="E224" s="382" t="s">
        <v>124</v>
      </c>
      <c r="F224" s="2017" t="s">
        <v>124</v>
      </c>
      <c r="G224" s="2018"/>
      <c r="H224" s="2132">
        <f>IF(AND(E224&lt;&gt;"Select",E224&lt;&gt;F224,F224&lt;&gt;"Select",F224&lt;&gt;"",E224&lt;&gt;""),D224,0)+IF(AND(E225&lt;&gt;"Select",E225&lt;&gt;F225,F225&lt;&gt;"Select",F225&lt;&gt;"",E225&lt;&gt;""),D225,0)+IF(AND(E226&lt;&gt;"Select",E226&lt;&gt;F226,F226&lt;&gt;"Select",F226&lt;&gt;"",E226&lt;&gt;""),D226,0)</f>
        <v>0</v>
      </c>
      <c r="I224" s="2132">
        <f>IFERROR(IF(H224&gt;=0.75*C224,C224,H224),"")</f>
        <v>0</v>
      </c>
      <c r="J224" s="50"/>
      <c r="K224" s="50"/>
      <c r="L224" s="50"/>
      <c r="M224" s="50"/>
      <c r="N224"/>
    </row>
    <row r="225" spans="1:15" x14ac:dyDescent="0.25">
      <c r="A225" s="50"/>
      <c r="B225" s="2130"/>
      <c r="C225" s="2130"/>
      <c r="D225" s="382"/>
      <c r="E225" s="382" t="s">
        <v>124</v>
      </c>
      <c r="F225" s="2017" t="s">
        <v>124</v>
      </c>
      <c r="G225" s="2018"/>
      <c r="H225" s="2133"/>
      <c r="I225" s="2133"/>
      <c r="J225" s="50"/>
      <c r="K225" s="50"/>
      <c r="L225" s="50"/>
      <c r="M225" s="50"/>
      <c r="N225"/>
    </row>
    <row r="226" spans="1:15" x14ac:dyDescent="0.25">
      <c r="A226" s="50"/>
      <c r="B226" s="2131"/>
      <c r="C226" s="2131"/>
      <c r="D226" s="1171"/>
      <c r="E226" s="382" t="s">
        <v>124</v>
      </c>
      <c r="F226" s="2017" t="s">
        <v>124</v>
      </c>
      <c r="G226" s="2018"/>
      <c r="H226" s="2134"/>
      <c r="I226" s="2134"/>
      <c r="J226" s="50"/>
      <c r="K226" s="50"/>
      <c r="L226" s="50"/>
      <c r="M226" s="50"/>
      <c r="N226"/>
    </row>
    <row r="227" spans="1:15" x14ac:dyDescent="0.25">
      <c r="A227" s="50"/>
      <c r="B227" s="2129"/>
      <c r="C227" s="2129"/>
      <c r="D227" s="382"/>
      <c r="E227" s="382" t="s">
        <v>124</v>
      </c>
      <c r="F227" s="2017" t="s">
        <v>124</v>
      </c>
      <c r="G227" s="2018"/>
      <c r="H227" s="2132">
        <f>IF(AND(E227&lt;&gt;"Select",E227&lt;&gt;F227,F227&lt;&gt;"Select",F227&lt;&gt;"",E227&lt;&gt;""),D227,0)+IF(AND(E228&lt;&gt;"Select",E228&lt;&gt;F228,F228&lt;&gt;"Select",F228&lt;&gt;"",E228&lt;&gt;""),D228,0)+IF(AND(E229&lt;&gt;"Select",E229&lt;&gt;F229,F229&lt;&gt;"Select",F229&lt;&gt;"",E229&lt;&gt;""),D229,0)</f>
        <v>0</v>
      </c>
      <c r="I227" s="2132">
        <f>IFERROR(IF(H227&gt;=0.75*C227,C227,H227),"")</f>
        <v>0</v>
      </c>
      <c r="J227" s="50"/>
      <c r="K227" s="50"/>
      <c r="L227" s="50"/>
      <c r="M227" s="50"/>
      <c r="N227"/>
    </row>
    <row r="228" spans="1:15" x14ac:dyDescent="0.25">
      <c r="A228" s="50"/>
      <c r="B228" s="2130"/>
      <c r="C228" s="2130"/>
      <c r="D228" s="382"/>
      <c r="E228" s="382" t="s">
        <v>124</v>
      </c>
      <c r="F228" s="2017" t="s">
        <v>124</v>
      </c>
      <c r="G228" s="2018"/>
      <c r="H228" s="2133"/>
      <c r="I228" s="2133"/>
      <c r="J228" s="50"/>
      <c r="K228" s="50"/>
      <c r="L228" s="50"/>
      <c r="M228" s="50"/>
      <c r="N228"/>
    </row>
    <row r="229" spans="1:15" x14ac:dyDescent="0.25">
      <c r="A229" s="50"/>
      <c r="B229" s="2131"/>
      <c r="C229" s="2131"/>
      <c r="D229" s="1171"/>
      <c r="E229" s="382" t="s">
        <v>124</v>
      </c>
      <c r="F229" s="2017" t="s">
        <v>124</v>
      </c>
      <c r="G229" s="2018"/>
      <c r="H229" s="2134"/>
      <c r="I229" s="2134"/>
      <c r="J229" s="50"/>
      <c r="K229" s="50"/>
      <c r="L229" s="50"/>
      <c r="M229" s="50"/>
      <c r="N229"/>
    </row>
    <row r="230" spans="1:15" x14ac:dyDescent="0.25">
      <c r="A230" s="50"/>
      <c r="B230" s="2129"/>
      <c r="C230" s="2129"/>
      <c r="D230" s="382"/>
      <c r="E230" s="382" t="s">
        <v>124</v>
      </c>
      <c r="F230" s="2017" t="s">
        <v>124</v>
      </c>
      <c r="G230" s="2018"/>
      <c r="H230" s="2132">
        <f>IF(AND(E230&lt;&gt;"Select",E230&lt;&gt;F230,F230&lt;&gt;"Select",F230&lt;&gt;"",E230&lt;&gt;""),D230,0)+IF(AND(E231&lt;&gt;"Select",E231&lt;&gt;F231,F231&lt;&gt;"Select",F231&lt;&gt;"",E231&lt;&gt;""),D231,0)+IF(AND(E232&lt;&gt;"Select",E232&lt;&gt;F232,F232&lt;&gt;"Select",F232&lt;&gt;"",E232&lt;&gt;""),D232,0)</f>
        <v>0</v>
      </c>
      <c r="I230" s="2132">
        <f>IFERROR(IF(H230&gt;=0.75*C230,C230,H230),"")</f>
        <v>0</v>
      </c>
      <c r="J230" s="50"/>
      <c r="K230" s="50"/>
      <c r="L230" s="50"/>
      <c r="M230" s="50"/>
      <c r="N230"/>
    </row>
    <row r="231" spans="1:15" x14ac:dyDescent="0.25">
      <c r="A231" s="50"/>
      <c r="B231" s="2130"/>
      <c r="C231" s="2130"/>
      <c r="D231" s="382"/>
      <c r="E231" s="382" t="s">
        <v>124</v>
      </c>
      <c r="F231" s="2017" t="s">
        <v>124</v>
      </c>
      <c r="G231" s="2018"/>
      <c r="H231" s="2133"/>
      <c r="I231" s="2133"/>
      <c r="J231" s="50"/>
      <c r="K231" s="50"/>
      <c r="L231" s="50"/>
      <c r="M231" s="50"/>
      <c r="N231"/>
    </row>
    <row r="232" spans="1:15" x14ac:dyDescent="0.25">
      <c r="A232" s="50"/>
      <c r="B232" s="2131"/>
      <c r="C232" s="2131"/>
      <c r="D232" s="1171"/>
      <c r="E232" s="382" t="s">
        <v>124</v>
      </c>
      <c r="F232" s="2017" t="s">
        <v>124</v>
      </c>
      <c r="G232" s="2018"/>
      <c r="H232" s="2134"/>
      <c r="I232" s="2134"/>
      <c r="J232" s="50"/>
      <c r="K232" s="50"/>
      <c r="L232" s="50"/>
      <c r="M232" s="50"/>
      <c r="N232"/>
    </row>
    <row r="233" spans="1:15" ht="18" customHeight="1" x14ac:dyDescent="0.25">
      <c r="A233" s="50"/>
      <c r="B233" s="50"/>
      <c r="C233" s="50"/>
      <c r="D233" s="50"/>
      <c r="E233" s="50"/>
      <c r="F233" s="50"/>
      <c r="G233" s="50"/>
      <c r="H233" s="50"/>
      <c r="I233" s="50"/>
      <c r="J233" s="50"/>
      <c r="K233" s="50"/>
      <c r="L233" s="50"/>
      <c r="M233" s="50"/>
      <c r="N233"/>
      <c r="O233"/>
    </row>
    <row r="234" spans="1:15" ht="18" customHeight="1" x14ac:dyDescent="0.25">
      <c r="A234" s="50"/>
      <c r="B234" s="2076" t="s">
        <v>1168</v>
      </c>
      <c r="C234" s="2078"/>
      <c r="D234" s="282">
        <f>SUM(I188:I232)</f>
        <v>0</v>
      </c>
      <c r="E234" s="50"/>
      <c r="F234" s="50"/>
      <c r="G234" s="50"/>
      <c r="H234" s="50"/>
      <c r="I234" s="50"/>
      <c r="J234" s="50"/>
      <c r="K234" s="50"/>
      <c r="L234" s="50"/>
      <c r="M234" s="50"/>
      <c r="N234"/>
      <c r="O234"/>
    </row>
    <row r="235" spans="1:15" ht="18" customHeight="1" x14ac:dyDescent="0.25">
      <c r="A235" s="50"/>
      <c r="B235" s="2076" t="s">
        <v>2248</v>
      </c>
      <c r="C235" s="2078"/>
      <c r="D235" s="79">
        <f>IFERROR(D234/SUM(C188:C232),0)</f>
        <v>0</v>
      </c>
      <c r="E235" s="50"/>
      <c r="F235" s="50"/>
      <c r="G235" s="50"/>
      <c r="H235" s="50"/>
      <c r="I235" s="50"/>
      <c r="J235" s="50"/>
      <c r="K235" s="50"/>
      <c r="L235" s="50"/>
      <c r="M235" s="50"/>
      <c r="N235"/>
      <c r="O235"/>
    </row>
    <row r="236" spans="1:15" ht="18" customHeight="1" x14ac:dyDescent="0.25">
      <c r="A236" s="50"/>
      <c r="B236" s="50"/>
      <c r="C236" s="50"/>
      <c r="D236" s="50"/>
      <c r="E236" s="50"/>
      <c r="F236" s="50"/>
      <c r="G236" s="50"/>
      <c r="H236" s="50"/>
      <c r="I236" s="50"/>
      <c r="J236" s="50"/>
      <c r="K236" s="50"/>
      <c r="L236" s="50"/>
      <c r="M236" s="50"/>
      <c r="N236"/>
      <c r="O236"/>
    </row>
    <row r="237" spans="1:15" ht="16.5" customHeight="1" x14ac:dyDescent="0.25">
      <c r="A237" s="2068" t="s">
        <v>186</v>
      </c>
      <c r="B237" s="2068"/>
      <c r="C237" s="2068"/>
      <c r="D237" s="50"/>
      <c r="E237" s="50"/>
      <c r="F237" s="50"/>
      <c r="G237" s="50"/>
      <c r="H237" s="50"/>
      <c r="I237" s="50"/>
      <c r="J237" s="50"/>
      <c r="K237" s="50"/>
      <c r="L237" s="49"/>
    </row>
    <row r="238" spans="1:15" ht="16.5" customHeight="1" x14ac:dyDescent="0.25">
      <c r="A238" s="49"/>
      <c r="B238" s="50"/>
      <c r="C238" s="50"/>
      <c r="D238" s="50"/>
      <c r="E238" s="49"/>
      <c r="F238" s="49"/>
      <c r="G238" s="49"/>
      <c r="H238" s="49"/>
      <c r="I238" s="49"/>
      <c r="J238" s="49"/>
      <c r="K238" s="49"/>
      <c r="L238" s="49"/>
    </row>
    <row r="239" spans="1:15" ht="18" customHeight="1" x14ac:dyDescent="0.25">
      <c r="A239" s="49"/>
      <c r="B239" s="2035" t="s">
        <v>1739</v>
      </c>
      <c r="C239" s="2036"/>
      <c r="D239" s="2036"/>
      <c r="E239" s="2036"/>
      <c r="F239" s="2036"/>
      <c r="G239" s="1097" t="s">
        <v>1737</v>
      </c>
      <c r="H239" s="2030" t="s">
        <v>1738</v>
      </c>
      <c r="I239" s="2031"/>
      <c r="J239" s="49"/>
      <c r="K239" s="49"/>
      <c r="L239" s="49"/>
    </row>
    <row r="240" spans="1:15" ht="24" customHeight="1" x14ac:dyDescent="0.25">
      <c r="A240" s="49"/>
      <c r="B240" s="1576" t="s">
        <v>2249</v>
      </c>
      <c r="C240" s="1577"/>
      <c r="D240" s="1577"/>
      <c r="E240" s="1577"/>
      <c r="F240" s="1577"/>
      <c r="G240" s="1089" t="s">
        <v>124</v>
      </c>
      <c r="H240" s="1931"/>
      <c r="I240" s="1932"/>
      <c r="J240" s="49"/>
      <c r="K240" s="49"/>
      <c r="L240" s="49"/>
    </row>
    <row r="241" spans="1:12" ht="24" customHeight="1" x14ac:dyDescent="0.25">
      <c r="A241" s="49"/>
      <c r="B241" s="1576" t="s">
        <v>2250</v>
      </c>
      <c r="C241" s="1577"/>
      <c r="D241" s="1577"/>
      <c r="E241" s="1577"/>
      <c r="F241" s="1577"/>
      <c r="G241" s="1089" t="s">
        <v>124</v>
      </c>
      <c r="H241" s="1931"/>
      <c r="I241" s="1932"/>
      <c r="J241" s="49"/>
      <c r="K241" s="49"/>
      <c r="L241" s="49"/>
    </row>
    <row r="242" spans="1:12" ht="17.25" customHeight="1" x14ac:dyDescent="0.25">
      <c r="A242" s="49"/>
      <c r="B242" s="50"/>
      <c r="C242" s="50"/>
      <c r="D242" s="50"/>
      <c r="E242" s="49"/>
      <c r="F242" s="49"/>
      <c r="G242" s="49"/>
      <c r="H242" s="49"/>
      <c r="I242" s="49"/>
      <c r="J242" s="49"/>
      <c r="K242" s="49"/>
      <c r="L242" s="49"/>
    </row>
    <row r="243" spans="1:12" ht="16.5" customHeight="1" x14ac:dyDescent="0.25">
      <c r="A243" s="2068" t="s">
        <v>22</v>
      </c>
      <c r="B243" s="2068"/>
      <c r="C243" s="2068"/>
      <c r="D243" s="50"/>
      <c r="E243" s="49"/>
      <c r="F243" s="49"/>
      <c r="G243" s="49"/>
      <c r="H243" s="49"/>
      <c r="I243" s="49"/>
      <c r="J243" s="49"/>
      <c r="K243" s="49"/>
      <c r="L243" s="49"/>
    </row>
    <row r="244" spans="1:12" ht="16.5" customHeight="1" x14ac:dyDescent="0.25">
      <c r="A244" s="49"/>
      <c r="B244" s="50"/>
      <c r="C244" s="50"/>
      <c r="D244" s="50"/>
      <c r="E244" s="49"/>
      <c r="F244" s="49"/>
      <c r="G244" s="49"/>
      <c r="H244" s="49"/>
      <c r="I244" s="49"/>
      <c r="J244" s="49"/>
      <c r="K244" s="49"/>
      <c r="L244" s="49"/>
    </row>
    <row r="245" spans="1:12" ht="16.5" customHeight="1" x14ac:dyDescent="0.25">
      <c r="A245" s="49"/>
      <c r="B245" s="243" t="s">
        <v>53</v>
      </c>
      <c r="C245" s="1335">
        <f>IF(D235&gt;=0.6,1,0)</f>
        <v>0</v>
      </c>
      <c r="D245" s="50"/>
      <c r="E245" s="49"/>
      <c r="F245" s="49"/>
      <c r="G245" s="49"/>
      <c r="H245" s="49"/>
      <c r="I245" s="49"/>
      <c r="J245" s="49"/>
      <c r="K245" s="49"/>
      <c r="L245" s="49"/>
    </row>
    <row r="246" spans="1:12" ht="16.5" customHeight="1" x14ac:dyDescent="0.25">
      <c r="A246" s="49"/>
      <c r="B246" s="244" t="s">
        <v>492</v>
      </c>
      <c r="C246" s="1335" t="str">
        <f>IF(AND(COUNTIF(N240:N241,"Yes")=2,C245&gt;0),"Yes","No")</f>
        <v>No</v>
      </c>
      <c r="D246" s="50"/>
      <c r="E246" s="49"/>
      <c r="F246" s="49"/>
      <c r="G246" s="49"/>
      <c r="H246" s="49"/>
      <c r="I246" s="49"/>
      <c r="J246" s="49"/>
      <c r="K246" s="49"/>
      <c r="L246" s="49"/>
    </row>
    <row r="247" spans="1:12" ht="18.75" customHeight="1" x14ac:dyDescent="0.25">
      <c r="A247" s="49"/>
      <c r="B247" s="50"/>
      <c r="C247" s="50"/>
      <c r="D247" s="50"/>
      <c r="E247" s="49"/>
      <c r="F247" s="49"/>
      <c r="G247" s="49"/>
      <c r="H247" s="49"/>
      <c r="I247" s="49"/>
      <c r="J247" s="49"/>
      <c r="K247" s="49"/>
      <c r="L247" s="49"/>
    </row>
    <row r="248" spans="1:12" ht="15" hidden="1" customHeight="1" x14ac:dyDescent="0.25"/>
    <row r="249" spans="1:12" ht="15" hidden="1" customHeight="1" x14ac:dyDescent="0.25"/>
    <row r="250" spans="1:12" ht="15" hidden="1" customHeight="1" x14ac:dyDescent="0.25"/>
    <row r="251" spans="1:12" ht="15" hidden="1" customHeight="1" x14ac:dyDescent="0.25"/>
    <row r="252" spans="1:12" ht="15" hidden="1" customHeight="1" x14ac:dyDescent="0.25"/>
    <row r="253" spans="1:12" ht="15" hidden="1" customHeight="1" x14ac:dyDescent="0.25"/>
    <row r="254" spans="1:12" ht="15" hidden="1" customHeight="1" x14ac:dyDescent="0.25"/>
    <row r="255" spans="1:12" ht="15" hidden="1" customHeight="1" x14ac:dyDescent="0.25"/>
    <row r="256" spans="1:12" ht="15" hidden="1" customHeight="1" x14ac:dyDescent="0.25"/>
    <row r="257" spans="9:9" ht="15" hidden="1" customHeight="1" x14ac:dyDescent="0.25"/>
    <row r="258" spans="9:9" ht="15" hidden="1" customHeight="1" x14ac:dyDescent="0.25"/>
    <row r="259" spans="9:9" ht="15" hidden="1" customHeight="1" x14ac:dyDescent="0.25"/>
    <row r="260" spans="9:9" ht="15" hidden="1" customHeight="1" x14ac:dyDescent="0.25">
      <c r="I260" s="49"/>
    </row>
    <row r="261" spans="9:9" ht="15" hidden="1" customHeight="1" x14ac:dyDescent="0.25"/>
    <row r="262" spans="9:9" ht="15" hidden="1" customHeight="1" x14ac:dyDescent="0.25"/>
    <row r="263" spans="9:9" ht="15" hidden="1" customHeight="1" x14ac:dyDescent="0.25"/>
    <row r="264" spans="9:9" ht="15" hidden="1" customHeight="1" x14ac:dyDescent="0.25"/>
    <row r="265" spans="9:9" ht="15" hidden="1" customHeight="1" x14ac:dyDescent="0.25"/>
    <row r="266" spans="9:9" ht="15" hidden="1" customHeight="1" x14ac:dyDescent="0.25"/>
    <row r="267" spans="9:9" ht="15" hidden="1" customHeight="1" x14ac:dyDescent="0.25"/>
    <row r="268" spans="9:9" ht="15" hidden="1" customHeight="1" x14ac:dyDescent="0.25"/>
    <row r="269" spans="9:9" ht="15" hidden="1" customHeight="1" x14ac:dyDescent="0.25"/>
    <row r="270" spans="9:9" ht="15" hidden="1" customHeight="1" x14ac:dyDescent="0.25"/>
    <row r="271" spans="9:9" ht="15" hidden="1" customHeight="1" x14ac:dyDescent="0.25"/>
    <row r="272" spans="9:9"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sheetData>
  <sheetProtection algorithmName="SHA-512" hashValue="uQlRkOWsstJ9GFnsHTIFyZYAMRmr3Ir4xQunHED6SQU7/2LQs9eabMrNTQHdASwG5bGlRYLncHZafs9pG1p5XA==" saltValue="jgJtOUao9TlC0i96/WjrVA==" spinCount="100000" sheet="1" objects="1" scenarios="1"/>
  <mergeCells count="228">
    <mergeCell ref="G103:H103"/>
    <mergeCell ref="A243:C243"/>
    <mergeCell ref="A107:C107"/>
    <mergeCell ref="B109:F109"/>
    <mergeCell ref="H109:I109"/>
    <mergeCell ref="B110:F110"/>
    <mergeCell ref="B111:F111"/>
    <mergeCell ref="A113:C113"/>
    <mergeCell ref="H110:I110"/>
    <mergeCell ref="H111:I111"/>
    <mergeCell ref="H157:I157"/>
    <mergeCell ref="H158:I158"/>
    <mergeCell ref="B239:F239"/>
    <mergeCell ref="H239:I239"/>
    <mergeCell ref="B240:F240"/>
    <mergeCell ref="H240:I240"/>
    <mergeCell ref="B241:F241"/>
    <mergeCell ref="H241:I241"/>
    <mergeCell ref="A237:C237"/>
    <mergeCell ref="A167:C167"/>
    <mergeCell ref="B156:F156"/>
    <mergeCell ref="H156:I156"/>
    <mergeCell ref="A165:L165"/>
    <mergeCell ref="A118:D118"/>
    <mergeCell ref="G101:H101"/>
    <mergeCell ref="G102:H102"/>
    <mergeCell ref="G83:H83"/>
    <mergeCell ref="G84:H84"/>
    <mergeCell ref="G85:H85"/>
    <mergeCell ref="G86:H86"/>
    <mergeCell ref="G87:H87"/>
    <mergeCell ref="G93:H93"/>
    <mergeCell ref="G94:H94"/>
    <mergeCell ref="G95:H95"/>
    <mergeCell ref="G96:H96"/>
    <mergeCell ref="A160:C160"/>
    <mergeCell ref="G53:H53"/>
    <mergeCell ref="G54:H54"/>
    <mergeCell ref="G42:H42"/>
    <mergeCell ref="G43:H43"/>
    <mergeCell ref="G44:H44"/>
    <mergeCell ref="G45:H45"/>
    <mergeCell ref="G46:H46"/>
    <mergeCell ref="E36:G36"/>
    <mergeCell ref="B62:F62"/>
    <mergeCell ref="H62:I62"/>
    <mergeCell ref="G56:H56"/>
    <mergeCell ref="G51:H51"/>
    <mergeCell ref="G52:H52"/>
    <mergeCell ref="G97:H97"/>
    <mergeCell ref="G98:H98"/>
    <mergeCell ref="B105:C105"/>
    <mergeCell ref="G88:H88"/>
    <mergeCell ref="G89:H89"/>
    <mergeCell ref="G90:H90"/>
    <mergeCell ref="G91:H91"/>
    <mergeCell ref="G92:H92"/>
    <mergeCell ref="G99:H99"/>
    <mergeCell ref="G100:H100"/>
    <mergeCell ref="E26:G26"/>
    <mergeCell ref="E27:G27"/>
    <mergeCell ref="E28:G28"/>
    <mergeCell ref="E29:G29"/>
    <mergeCell ref="E30:G30"/>
    <mergeCell ref="B26:C26"/>
    <mergeCell ref="A77:C77"/>
    <mergeCell ref="B27:C31"/>
    <mergeCell ref="B32:C35"/>
    <mergeCell ref="E31:G31"/>
    <mergeCell ref="E32:G32"/>
    <mergeCell ref="E33:G33"/>
    <mergeCell ref="E34:G34"/>
    <mergeCell ref="E35:G35"/>
    <mergeCell ref="A75:D75"/>
    <mergeCell ref="G55:H55"/>
    <mergeCell ref="H63:I63"/>
    <mergeCell ref="H64:I64"/>
    <mergeCell ref="B73:C73"/>
    <mergeCell ref="D73:E73"/>
    <mergeCell ref="G47:H47"/>
    <mergeCell ref="G48:H48"/>
    <mergeCell ref="G49:H49"/>
    <mergeCell ref="G50:H50"/>
    <mergeCell ref="A16:L16"/>
    <mergeCell ref="B36:C36"/>
    <mergeCell ref="A1:L1"/>
    <mergeCell ref="A8:L8"/>
    <mergeCell ref="B158:F158"/>
    <mergeCell ref="I2:J4"/>
    <mergeCell ref="B10:E10"/>
    <mergeCell ref="B11:E11"/>
    <mergeCell ref="B12:E12"/>
    <mergeCell ref="A5:L6"/>
    <mergeCell ref="A154:C154"/>
    <mergeCell ref="B14:E14"/>
    <mergeCell ref="B157:F157"/>
    <mergeCell ref="B64:F64"/>
    <mergeCell ref="A71:L71"/>
    <mergeCell ref="B13:E13"/>
    <mergeCell ref="A18:C18"/>
    <mergeCell ref="A38:C38"/>
    <mergeCell ref="A120:C120"/>
    <mergeCell ref="A60:C60"/>
    <mergeCell ref="A66:C66"/>
    <mergeCell ref="B63:F63"/>
    <mergeCell ref="B58:C58"/>
    <mergeCell ref="B152:C152"/>
    <mergeCell ref="B171:H171"/>
    <mergeCell ref="B172:H172"/>
    <mergeCell ref="B173:H173"/>
    <mergeCell ref="B174:H174"/>
    <mergeCell ref="B175:H175"/>
    <mergeCell ref="A177:C177"/>
    <mergeCell ref="B181:L182"/>
    <mergeCell ref="B186:B187"/>
    <mergeCell ref="C186:C187"/>
    <mergeCell ref="D186:D187"/>
    <mergeCell ref="E186:E187"/>
    <mergeCell ref="F186:G187"/>
    <mergeCell ref="H186:H187"/>
    <mergeCell ref="I186:I187"/>
    <mergeCell ref="B188:B190"/>
    <mergeCell ref="C188:C190"/>
    <mergeCell ref="F188:G188"/>
    <mergeCell ref="H188:H190"/>
    <mergeCell ref="I188:I190"/>
    <mergeCell ref="F189:G189"/>
    <mergeCell ref="F190:G190"/>
    <mergeCell ref="B191:B193"/>
    <mergeCell ref="C191:C193"/>
    <mergeCell ref="F191:G191"/>
    <mergeCell ref="H191:H193"/>
    <mergeCell ref="I191:I193"/>
    <mergeCell ref="F192:G192"/>
    <mergeCell ref="F193:G193"/>
    <mergeCell ref="B194:B196"/>
    <mergeCell ref="C194:C196"/>
    <mergeCell ref="F194:G194"/>
    <mergeCell ref="H194:H196"/>
    <mergeCell ref="I194:I196"/>
    <mergeCell ref="F195:G195"/>
    <mergeCell ref="F196:G196"/>
    <mergeCell ref="B197:B199"/>
    <mergeCell ref="C197:C199"/>
    <mergeCell ref="F197:G197"/>
    <mergeCell ref="H197:H199"/>
    <mergeCell ref="I197:I199"/>
    <mergeCell ref="F198:G198"/>
    <mergeCell ref="F199:G199"/>
    <mergeCell ref="B200:B202"/>
    <mergeCell ref="C200:C202"/>
    <mergeCell ref="F200:G200"/>
    <mergeCell ref="H200:H202"/>
    <mergeCell ref="I200:I202"/>
    <mergeCell ref="F201:G201"/>
    <mergeCell ref="F202:G202"/>
    <mergeCell ref="B203:B205"/>
    <mergeCell ref="C203:C205"/>
    <mergeCell ref="F203:G203"/>
    <mergeCell ref="H203:H205"/>
    <mergeCell ref="I203:I205"/>
    <mergeCell ref="F204:G204"/>
    <mergeCell ref="F205:G205"/>
    <mergeCell ref="B206:B208"/>
    <mergeCell ref="C206:C208"/>
    <mergeCell ref="F206:G206"/>
    <mergeCell ref="H206:H208"/>
    <mergeCell ref="I206:I208"/>
    <mergeCell ref="F207:G207"/>
    <mergeCell ref="F208:G208"/>
    <mergeCell ref="B209:B211"/>
    <mergeCell ref="C209:C211"/>
    <mergeCell ref="F209:G209"/>
    <mergeCell ref="H209:H211"/>
    <mergeCell ref="I209:I211"/>
    <mergeCell ref="F210:G210"/>
    <mergeCell ref="F211:G211"/>
    <mergeCell ref="B212:B214"/>
    <mergeCell ref="C212:C214"/>
    <mergeCell ref="F212:G212"/>
    <mergeCell ref="H212:H214"/>
    <mergeCell ref="I212:I214"/>
    <mergeCell ref="F213:G213"/>
    <mergeCell ref="F214:G214"/>
    <mergeCell ref="B215:B217"/>
    <mergeCell ref="C215:C217"/>
    <mergeCell ref="F215:G215"/>
    <mergeCell ref="H215:H217"/>
    <mergeCell ref="I215:I217"/>
    <mergeCell ref="F216:G216"/>
    <mergeCell ref="F217:G217"/>
    <mergeCell ref="B218:B220"/>
    <mergeCell ref="C218:C220"/>
    <mergeCell ref="F218:G218"/>
    <mergeCell ref="H218:H220"/>
    <mergeCell ref="I218:I220"/>
    <mergeCell ref="F219:G219"/>
    <mergeCell ref="F220:G220"/>
    <mergeCell ref="B221:B223"/>
    <mergeCell ref="C221:C223"/>
    <mergeCell ref="F221:G221"/>
    <mergeCell ref="H221:H223"/>
    <mergeCell ref="I221:I223"/>
    <mergeCell ref="F222:G222"/>
    <mergeCell ref="F223:G223"/>
    <mergeCell ref="B224:B226"/>
    <mergeCell ref="C224:C226"/>
    <mergeCell ref="F224:G224"/>
    <mergeCell ref="H224:H226"/>
    <mergeCell ref="I224:I226"/>
    <mergeCell ref="F225:G225"/>
    <mergeCell ref="F226:G226"/>
    <mergeCell ref="B227:B229"/>
    <mergeCell ref="C227:C229"/>
    <mergeCell ref="F227:G227"/>
    <mergeCell ref="H227:H229"/>
    <mergeCell ref="I227:I229"/>
    <mergeCell ref="F228:G228"/>
    <mergeCell ref="F229:G229"/>
    <mergeCell ref="B230:B232"/>
    <mergeCell ref="C230:C232"/>
    <mergeCell ref="F230:G230"/>
    <mergeCell ref="H230:H232"/>
    <mergeCell ref="I230:I232"/>
    <mergeCell ref="F231:G231"/>
    <mergeCell ref="F232:G232"/>
    <mergeCell ref="B234:C234"/>
    <mergeCell ref="B235:C235"/>
  </mergeCells>
  <conditionalFormatting sqref="G157:G158">
    <cfRule type="expression" dxfId="109" priority="16">
      <formula>#REF!&lt;&gt;"Prescriptive Path"</formula>
    </cfRule>
  </conditionalFormatting>
  <conditionalFormatting sqref="G63:G64">
    <cfRule type="expression" dxfId="108" priority="17">
      <formula>#REF!&lt;&gt;"Prescriptive Path"</formula>
    </cfRule>
  </conditionalFormatting>
  <conditionalFormatting sqref="H62:I62">
    <cfRule type="expression" dxfId="107" priority="14">
      <formula>#REF!&lt;&gt;"Prescriptive Path"</formula>
    </cfRule>
  </conditionalFormatting>
  <conditionalFormatting sqref="H63:H64">
    <cfRule type="expression" dxfId="106" priority="13">
      <formula>#REF!&lt;&gt;"Prescriptive Path"</formula>
    </cfRule>
  </conditionalFormatting>
  <conditionalFormatting sqref="H156:I156">
    <cfRule type="expression" dxfId="105" priority="12">
      <formula>#REF!&lt;&gt;"Prescriptive Path"</formula>
    </cfRule>
  </conditionalFormatting>
  <conditionalFormatting sqref="G240:G241">
    <cfRule type="expression" dxfId="104" priority="11">
      <formula>#REF!&lt;&gt;"Prescriptive Path"</formula>
    </cfRule>
  </conditionalFormatting>
  <conditionalFormatting sqref="H239:I239">
    <cfRule type="expression" dxfId="103" priority="10">
      <formula>#REF!&lt;&gt;"Prescriptive Path"</formula>
    </cfRule>
  </conditionalFormatting>
  <conditionalFormatting sqref="H240:H241">
    <cfRule type="expression" dxfId="102" priority="9">
      <formula>#REF!&lt;&gt;"Prescriptive Path"</formula>
    </cfRule>
  </conditionalFormatting>
  <conditionalFormatting sqref="G110:G111">
    <cfRule type="expression" dxfId="101" priority="8">
      <formula>#REF!&lt;&gt;"Prescriptive Path"</formula>
    </cfRule>
  </conditionalFormatting>
  <conditionalFormatting sqref="H109:I109">
    <cfRule type="expression" dxfId="100" priority="7">
      <formula>#REF!&lt;&gt;"Prescriptive Path"</formula>
    </cfRule>
  </conditionalFormatting>
  <conditionalFormatting sqref="H110:I111">
    <cfRule type="expression" dxfId="99" priority="5">
      <formula>$B110="/"</formula>
    </cfRule>
    <cfRule type="expression" dxfId="98" priority="6">
      <formula>$B110="No evidence required at this submission stage"</formula>
    </cfRule>
  </conditionalFormatting>
  <conditionalFormatting sqref="H157:I158">
    <cfRule type="expression" dxfId="97" priority="3">
      <formula>$B157="/"</formula>
    </cfRule>
    <cfRule type="expression" dxfId="96" priority="4">
      <formula>$B157="No evidence required at this submission stage"</formula>
    </cfRule>
  </conditionalFormatting>
  <conditionalFormatting sqref="B240">
    <cfRule type="expression" dxfId="95" priority="2">
      <formula>#REF!&lt;&gt;"Prescriptive Path"</formula>
    </cfRule>
  </conditionalFormatting>
  <conditionalFormatting sqref="B241">
    <cfRule type="expression" dxfId="94" priority="1">
      <formula>#REF!&lt;&gt;"Prescriptive Path"</formula>
    </cfRule>
  </conditionalFormatting>
  <dataValidations count="13">
    <dataValidation allowBlank="1" showInputMessage="1" showErrorMessage="1" prompt="Example: _x000a_Fixtures: 2 T5 fluorescent tubes that emit 800 lumens, 1 desk halogen lamp that emits 600 lumens_x000a_Write information as follows:_x000a_&quot;2 T5 - 800 lm_x000a_1 halogen - 600 lm&quot;" sqref="G43:G56" xr:uid="{00000000-0002-0000-2700-000000000000}"/>
    <dataValidation type="list" allowBlank="1" showInputMessage="1" showErrorMessage="1" sqref="G63:G64 G157:G158 G240:G241 G110:G111" xr:uid="{00000000-0002-0000-2700-000001000000}">
      <formula1>"Select, Submitted,Not submitted"</formula1>
    </dataValidation>
    <dataValidation type="list" allowBlank="1" showInputMessage="1" showErrorMessage="1" prompt="Select the lighting purpose as defined in Table H.1 above" sqref="C43:C56" xr:uid="{00000000-0002-0000-2700-000002000000}">
      <formula1>"Select,lighting purpose 1, lighting purpose 2, lighting purpose 3"</formula1>
    </dataValidation>
    <dataValidation type="list" allowBlank="1" showInputMessage="1" showErrorMessage="1" prompt="Select the application as defined in Table H.1 above" sqref="D43:D56" xr:uid="{00000000-0002-0000-2700-000003000000}">
      <formula1>$O43:$T43</formula1>
    </dataValidation>
    <dataValidation allowBlank="1" showInputMessage="1" showErrorMessage="1" prompt="As defined in Table H.1 above" sqref="C42:D42" xr:uid="{00000000-0002-0000-2700-000004000000}"/>
    <dataValidation allowBlank="1" showInputMessage="1" showErrorMessage="1" prompt="Calculated based on minimum illuminance level required and area of the space" sqref="F42:F56" xr:uid="{00000000-0002-0000-2700-000005000000}"/>
    <dataValidation type="list" allowBlank="1" showInputMessage="1" showErrorMessage="1" prompt="As given in Table 3 of TCXDVN 175-2005. _x000a_Based on the influencing factors." sqref="E84:E103" xr:uid="{00000000-0002-0000-2700-000006000000}">
      <formula1>"Select,-5,0,+5,+10,+15,+20"</formula1>
    </dataValidation>
    <dataValidation type="list" allowBlank="1" showInputMessage="1" showErrorMessage="1" prompt="As given in Table 2 of TCXDVN 175-2005" sqref="D84:D103" xr:uid="{00000000-0002-0000-2700-000007000000}">
      <formula1>"Select,35,45,50,55,60"</formula1>
    </dataValidation>
    <dataValidation allowBlank="1" showInputMessage="1" showErrorMessage="1" prompt="Provide more details on the space types, measurements, influencing factors (Yếu tố ảnh hưởng), etc." sqref="G84:H103" xr:uid="{00000000-0002-0000-2700-000008000000}"/>
    <dataValidation allowBlank="1" showInputMessage="1" showErrorMessage="1" prompt="Measured in accordance with TCVN 5964 - 1995: Description and measurement of environmental noise" sqref="F84:F103" xr:uid="{00000000-0002-0000-2700-000009000000}"/>
    <dataValidation allowBlank="1" showInputMessage="1" showErrorMessage="1" prompt="As specified in Table 2 of TCXDVN 175-2005" sqref="C84:C103" xr:uid="{00000000-0002-0000-2700-00000A000000}"/>
    <dataValidation type="list" allowBlank="1" showInputMessage="1" showErrorMessage="1" sqref="D73:E73" xr:uid="{00000000-0002-0000-2700-00000B000000}">
      <formula1>"Select,Option A: Internal Noise Levels,Option B: Reverberation Time"</formula1>
    </dataValidation>
    <dataValidation type="list" allowBlank="1" showInputMessage="1" showErrorMessage="1" sqref="E188:F232" xr:uid="{00000000-0002-0000-2700-00000C000000}">
      <formula1>"Select,Unobstructed for 8 meters,includes vegetation/sky/fauna,includes movement,multiple lines of sight"</formula1>
    </dataValidation>
  </dataValidations>
  <hyperlinks>
    <hyperlink ref="K3" location="'H-2 Ventilation in wet areas'!E3" tooltip="H-2" display="H-2" xr:uid="{00000000-0004-0000-2700-000000000000}"/>
    <hyperlink ref="K2" location="'H-1 Fresh Air Supply'!B3" tooltip="H-1" display="H-1" xr:uid="{00000000-0004-0000-2700-000001000000}"/>
    <hyperlink ref="L2" location="'H-4 Low-VOC Emissions'!B3" tooltip="H-4" display="H-4" xr:uid="{00000000-0004-0000-2700-000002000000}"/>
    <hyperlink ref="L4" location="'H-6 External Views'!B3" tooltip="H-6" display="H-6" xr:uid="{00000000-0004-0000-2700-000003000000}"/>
    <hyperlink ref="L3" location="'H-5 Daylighting'!B3" tooltip="H-5" display="H-5" xr:uid="{00000000-0004-0000-2700-000004000000}"/>
    <hyperlink ref="K4" location="'H-3 Low-VOC Emissions'!D3" tooltip="H-3" display="H-3" xr:uid="{00000000-0004-0000-2700-000005000000}"/>
  </hyperlinks>
  <pageMargins left="0.7" right="0.7" top="0.75" bottom="0.75" header="0.3" footer="0.3"/>
  <pageSetup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
    <tabColor rgb="FF76923C"/>
  </sheetPr>
  <dimension ref="A1:Q61"/>
  <sheetViews>
    <sheetView showRowColHeaders="0" zoomScale="90" zoomScaleNormal="90" workbookViewId="0">
      <selection activeCell="K2" sqref="K2"/>
    </sheetView>
  </sheetViews>
  <sheetFormatPr defaultColWidth="0" defaultRowHeight="0" customHeight="1" zeroHeight="1" x14ac:dyDescent="0.25"/>
  <cols>
    <col min="1" max="1" width="5.7109375" customWidth="1"/>
    <col min="2" max="2" width="31.7109375" customWidth="1"/>
    <col min="3" max="3" width="3.7109375" customWidth="1"/>
    <col min="4" max="4" width="11.7109375" customWidth="1"/>
    <col min="5" max="5" width="20.5703125" customWidth="1"/>
    <col min="6" max="6" width="22.28515625" customWidth="1"/>
    <col min="7" max="8" width="19.7109375" customWidth="1"/>
    <col min="9" max="9" width="8.7109375" customWidth="1"/>
    <col min="10" max="10" width="8" customWidth="1"/>
    <col min="11" max="11" width="5" customWidth="1"/>
    <col min="12" max="12" width="3.5703125" customWidth="1"/>
    <col min="13" max="17" width="0" hidden="1" customWidth="1"/>
    <col min="18" max="16384" width="9.140625" hidden="1"/>
  </cols>
  <sheetData>
    <row r="1" spans="1:12" ht="39" customHeight="1" x14ac:dyDescent="0.25">
      <c r="A1" s="42"/>
      <c r="B1" s="2160" t="s">
        <v>0</v>
      </c>
      <c r="C1" s="264"/>
      <c r="D1" s="1"/>
      <c r="E1" s="1"/>
      <c r="F1" s="1"/>
      <c r="G1" s="1"/>
      <c r="H1" s="1"/>
      <c r="I1" s="1"/>
      <c r="J1" s="1"/>
      <c r="K1" s="1"/>
      <c r="L1" s="1"/>
    </row>
    <row r="2" spans="1:12" ht="22.5" customHeight="1" x14ac:dyDescent="0.25">
      <c r="A2" s="42"/>
      <c r="B2" s="2160"/>
      <c r="C2" s="264"/>
      <c r="D2" s="1"/>
      <c r="E2" s="1"/>
      <c r="F2" s="1"/>
      <c r="G2" s="1"/>
      <c r="H2" s="1"/>
      <c r="I2" s="1"/>
      <c r="J2" s="1"/>
      <c r="K2" s="1"/>
      <c r="L2" s="1"/>
    </row>
    <row r="3" spans="1:12" ht="21" customHeight="1" x14ac:dyDescent="0.25">
      <c r="A3" s="42"/>
      <c r="B3" s="2160"/>
      <c r="C3" s="264"/>
      <c r="D3" s="1"/>
      <c r="E3" s="2162" t="s">
        <v>363</v>
      </c>
      <c r="F3" s="2163"/>
      <c r="G3" s="2157" t="s">
        <v>364</v>
      </c>
      <c r="H3" s="2157" t="s">
        <v>53</v>
      </c>
      <c r="I3" s="1"/>
      <c r="J3" s="1"/>
      <c r="K3" s="1"/>
      <c r="L3" s="1"/>
    </row>
    <row r="4" spans="1:12" ht="15" customHeight="1" x14ac:dyDescent="0.25">
      <c r="A4" s="42"/>
      <c r="B4" s="42"/>
      <c r="C4" s="42"/>
      <c r="D4" s="1"/>
      <c r="E4" s="2164"/>
      <c r="F4" s="2165"/>
      <c r="G4" s="2157"/>
      <c r="H4" s="2157"/>
      <c r="I4" s="1"/>
      <c r="J4" s="1"/>
      <c r="K4" s="1"/>
      <c r="L4" s="1"/>
    </row>
    <row r="5" spans="1:12" ht="21.75" customHeight="1" x14ac:dyDescent="0.25">
      <c r="A5" s="42"/>
      <c r="B5" s="2161" t="str">
        <f>IF(A1="","To protect the ecology of the site of the building and surrounding area, to encourage recycling practices, and to integrate adaptation and mitigation strategies.","")</f>
        <v>To protect the ecology of the site of the building and surrounding area, to encourage recycling practices, and to integrate adaptation and mitigation strategies.</v>
      </c>
      <c r="C5" s="265"/>
      <c r="D5" s="1"/>
      <c r="E5" s="2158" t="s">
        <v>1</v>
      </c>
      <c r="F5" s="2159"/>
      <c r="G5" s="165">
        <v>5</v>
      </c>
      <c r="H5" s="165">
        <f>SUM('LE-1 Site Selection'!G12:G15)</f>
        <v>0</v>
      </c>
      <c r="I5" s="1"/>
      <c r="J5" s="1"/>
      <c r="K5" s="1"/>
      <c r="L5" s="1"/>
    </row>
    <row r="6" spans="1:12" ht="21.75" customHeight="1" x14ac:dyDescent="0.25">
      <c r="A6" s="42"/>
      <c r="B6" s="2161"/>
      <c r="C6" s="265"/>
      <c r="D6" s="1"/>
      <c r="E6" s="2158" t="s">
        <v>305</v>
      </c>
      <c r="F6" s="2159"/>
      <c r="G6" s="165">
        <v>2</v>
      </c>
      <c r="H6" s="165">
        <f>SUM('LE-2 Site design'!G12:G13)</f>
        <v>0</v>
      </c>
      <c r="I6" s="1"/>
      <c r="J6" s="1"/>
      <c r="K6" s="1"/>
      <c r="L6" s="1"/>
    </row>
    <row r="7" spans="1:12" ht="21.75" customHeight="1" x14ac:dyDescent="0.25">
      <c r="A7" s="42"/>
      <c r="B7" s="2161"/>
      <c r="C7" s="265"/>
      <c r="D7" s="1"/>
      <c r="E7" s="2158" t="s">
        <v>4</v>
      </c>
      <c r="F7" s="2159"/>
      <c r="G7" s="165">
        <v>2</v>
      </c>
      <c r="H7" s="165">
        <f>'LE-3 Vegetation'!G14</f>
        <v>0</v>
      </c>
      <c r="I7" s="1"/>
      <c r="J7" s="1"/>
      <c r="K7" s="1"/>
      <c r="L7" s="1"/>
    </row>
    <row r="8" spans="1:12" ht="21.75" customHeight="1" x14ac:dyDescent="0.25">
      <c r="A8" s="104"/>
      <c r="B8" s="2161"/>
      <c r="C8" s="265"/>
      <c r="D8" s="1"/>
      <c r="E8" s="2158" t="s">
        <v>5</v>
      </c>
      <c r="F8" s="2159"/>
      <c r="G8" s="165">
        <v>2</v>
      </c>
      <c r="H8" s="165">
        <f>'LE-4 Heat Island Effect'!G12</f>
        <v>0</v>
      </c>
      <c r="I8" s="1"/>
      <c r="J8" s="1"/>
      <c r="K8" s="1"/>
      <c r="L8" s="1"/>
    </row>
    <row r="9" spans="1:12" ht="21.75" customHeight="1" x14ac:dyDescent="0.25">
      <c r="A9" s="104"/>
      <c r="B9" s="2161"/>
      <c r="C9" s="265"/>
      <c r="D9" s="1"/>
      <c r="E9" s="2158" t="s">
        <v>236</v>
      </c>
      <c r="F9" s="2159"/>
      <c r="G9" s="165">
        <v>2</v>
      </c>
      <c r="H9" s="165">
        <f>'LE-5 Storm Water Runoff'!G12</f>
        <v>0</v>
      </c>
      <c r="I9" s="3"/>
      <c r="J9" s="3"/>
      <c r="K9" s="3"/>
      <c r="L9" s="3"/>
    </row>
    <row r="10" spans="1:12" ht="21.75" customHeight="1" x14ac:dyDescent="0.25">
      <c r="A10" s="104"/>
      <c r="B10" s="2161"/>
      <c r="C10" s="265"/>
      <c r="D10" s="1"/>
      <c r="E10" s="2158" t="s">
        <v>235</v>
      </c>
      <c r="F10" s="2159"/>
      <c r="G10" s="165">
        <v>1</v>
      </c>
      <c r="H10" s="165">
        <f>'LE-6 Flood Risk Mitigation'!G12</f>
        <v>0</v>
      </c>
      <c r="I10" s="3"/>
      <c r="J10" s="1"/>
      <c r="K10" s="1"/>
      <c r="L10" s="1"/>
    </row>
    <row r="11" spans="1:12" ht="21.75" customHeight="1" x14ac:dyDescent="0.25">
      <c r="A11" s="104"/>
      <c r="B11" s="2161"/>
      <c r="C11" s="265"/>
      <c r="D11" s="1"/>
      <c r="E11" s="2158" t="s">
        <v>114</v>
      </c>
      <c r="F11" s="2159"/>
      <c r="G11" s="165">
        <v>1</v>
      </c>
      <c r="H11" s="165">
        <f>IF('LE-7 Refrigerants'!D11="Prescriptive Path",'LE-7 Refrigerants'!H14,IF('LE-7 Refrigerants'!D11="Performance Path",'LE-7 Refrigerants'!H17,0))</f>
        <v>0</v>
      </c>
      <c r="I11" s="3"/>
      <c r="J11" s="1"/>
      <c r="K11" s="1"/>
      <c r="L11" s="1"/>
    </row>
    <row r="12" spans="1:12" ht="21.75" customHeight="1" x14ac:dyDescent="0.25">
      <c r="A12" s="104"/>
      <c r="B12" s="2161"/>
      <c r="C12" s="265"/>
      <c r="D12" s="1"/>
      <c r="E12" s="2158" t="s">
        <v>2060</v>
      </c>
      <c r="F12" s="2159"/>
      <c r="G12" s="165">
        <v>1</v>
      </c>
      <c r="H12" s="165">
        <f>'LE-8 Recycling Storage Area'!G12</f>
        <v>0</v>
      </c>
      <c r="I12" s="3"/>
      <c r="J12" s="1"/>
      <c r="K12" s="1"/>
      <c r="L12" s="1"/>
    </row>
    <row r="13" spans="1:12" ht="23.25" customHeight="1" x14ac:dyDescent="0.25">
      <c r="A13" s="104"/>
      <c r="B13" s="238"/>
      <c r="C13" s="238"/>
      <c r="D13" s="1"/>
      <c r="E13" s="105" t="s">
        <v>79</v>
      </c>
      <c r="F13" s="106"/>
      <c r="G13" s="107">
        <f>SUM(G5:G12)</f>
        <v>16</v>
      </c>
      <c r="H13" s="107">
        <f>SUM(H5:H12)</f>
        <v>0</v>
      </c>
      <c r="I13" s="1"/>
      <c r="J13" s="1"/>
      <c r="K13" s="1"/>
      <c r="L13" s="1"/>
    </row>
    <row r="14" spans="1:12" ht="15" customHeight="1" x14ac:dyDescent="0.25">
      <c r="A14" s="104"/>
      <c r="B14" s="238"/>
      <c r="C14" s="238"/>
      <c r="D14" s="1"/>
      <c r="E14" s="1"/>
      <c r="F14" s="1"/>
      <c r="G14" s="1"/>
      <c r="H14" s="1"/>
      <c r="I14" s="1"/>
      <c r="J14" s="1"/>
      <c r="K14" s="1"/>
      <c r="L14" s="1"/>
    </row>
    <row r="15" spans="1:12" ht="15" customHeight="1" x14ac:dyDescent="0.25">
      <c r="A15" s="104"/>
      <c r="B15" s="238"/>
      <c r="C15" s="238"/>
      <c r="D15" s="1"/>
      <c r="E15" s="1"/>
      <c r="F15" s="1"/>
      <c r="G15" s="1"/>
      <c r="H15" s="1"/>
      <c r="I15" s="1"/>
      <c r="J15" s="1"/>
      <c r="K15" s="1"/>
      <c r="L15" s="1"/>
    </row>
    <row r="16" spans="1:12" ht="15" customHeight="1" x14ac:dyDescent="0.25">
      <c r="A16" s="104"/>
      <c r="B16" s="238"/>
      <c r="C16" s="238"/>
      <c r="D16" s="1"/>
      <c r="E16" s="1"/>
      <c r="F16" s="1"/>
      <c r="G16" s="1"/>
      <c r="H16" s="1"/>
      <c r="I16" s="1"/>
      <c r="J16" s="1"/>
      <c r="K16" s="1"/>
      <c r="L16" s="1"/>
    </row>
    <row r="17" spans="1:12" ht="15" hidden="1" customHeight="1" x14ac:dyDescent="0.25">
      <c r="A17" s="104"/>
      <c r="B17" s="238"/>
      <c r="C17" s="238"/>
      <c r="D17" s="1"/>
      <c r="E17" s="1"/>
      <c r="F17" s="1"/>
      <c r="G17" s="1"/>
      <c r="H17" s="1"/>
      <c r="I17" s="1"/>
      <c r="J17" s="1"/>
      <c r="K17" s="1"/>
      <c r="L17" s="1"/>
    </row>
    <row r="18" spans="1:12" ht="15" hidden="1" customHeight="1" x14ac:dyDescent="0.25">
      <c r="A18" s="104"/>
      <c r="B18" s="238"/>
      <c r="C18" s="238"/>
      <c r="D18" s="1"/>
      <c r="E18" s="1"/>
      <c r="F18" s="1"/>
      <c r="G18" s="1"/>
      <c r="H18" s="1"/>
      <c r="I18" s="1"/>
      <c r="J18" s="1"/>
      <c r="K18" s="1"/>
      <c r="L18" s="1"/>
    </row>
    <row r="19" spans="1:12" ht="15" hidden="1" customHeight="1" x14ac:dyDescent="0.25">
      <c r="A19" s="104"/>
      <c r="B19" s="238"/>
      <c r="C19" s="238"/>
      <c r="D19" s="1"/>
      <c r="E19" s="1"/>
      <c r="F19" s="1"/>
      <c r="G19" s="1"/>
      <c r="H19" s="1"/>
      <c r="I19" s="1"/>
      <c r="J19" s="1"/>
      <c r="K19" s="1"/>
      <c r="L19" s="1"/>
    </row>
    <row r="20" spans="1:12" ht="15" hidden="1" customHeight="1" x14ac:dyDescent="0.25">
      <c r="A20" s="104"/>
      <c r="B20" s="238"/>
      <c r="C20" s="238"/>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E44" s="1"/>
      <c r="F44" s="1"/>
      <c r="G44" s="1"/>
      <c r="H44" s="1"/>
      <c r="I44" s="1"/>
      <c r="J44" s="1"/>
      <c r="K44" s="1"/>
      <c r="L44" s="1"/>
    </row>
    <row r="45" spans="1:12" ht="15" hidden="1" customHeight="1" x14ac:dyDescent="0.25">
      <c r="A45" s="1"/>
      <c r="B45" s="2"/>
      <c r="C45" s="2"/>
      <c r="D45" s="1"/>
      <c r="E45" s="1"/>
      <c r="F45" s="1"/>
      <c r="G45" s="1"/>
      <c r="H45" s="1"/>
      <c r="I45" s="1"/>
      <c r="J45" s="1"/>
      <c r="K45" s="1"/>
      <c r="L45" s="1"/>
    </row>
    <row r="46" spans="1:12" ht="15" hidden="1" customHeight="1" x14ac:dyDescent="0.25">
      <c r="A46" s="1"/>
      <c r="B46" s="2"/>
      <c r="C46" s="2"/>
      <c r="D46" s="1"/>
      <c r="E46" s="1"/>
      <c r="F46" s="1"/>
      <c r="G46" s="1"/>
      <c r="H46" s="1"/>
      <c r="I46" s="1"/>
      <c r="J46" s="1"/>
      <c r="K46" s="1"/>
      <c r="L46" s="1"/>
    </row>
    <row r="47" spans="1:12" ht="15" hidden="1" customHeight="1" x14ac:dyDescent="0.25">
      <c r="D47" s="1"/>
      <c r="E47" s="1"/>
      <c r="F47" s="1"/>
      <c r="G47" s="1"/>
      <c r="H47" s="1"/>
      <c r="I47" s="1"/>
    </row>
    <row r="48" spans="1:12" ht="15" hidden="1" customHeight="1" x14ac:dyDescent="0.25">
      <c r="D48" s="1"/>
      <c r="I48" s="1"/>
    </row>
    <row r="49" spans="4:9" ht="15" hidden="1" customHeight="1" x14ac:dyDescent="0.25">
      <c r="D49" s="1"/>
      <c r="I49" s="1"/>
    </row>
    <row r="50" spans="4:9" ht="15" hidden="1" customHeight="1" x14ac:dyDescent="0.25">
      <c r="D50" s="1"/>
      <c r="I50" s="1"/>
    </row>
    <row r="51" spans="4:9" ht="15" hidden="1" customHeight="1" x14ac:dyDescent="0.25"/>
    <row r="52" spans="4:9" ht="15" hidden="1" customHeight="1" x14ac:dyDescent="0.25"/>
    <row r="53" spans="4:9" ht="15" hidden="1" customHeight="1" x14ac:dyDescent="0.25"/>
    <row r="54" spans="4:9" ht="15" hidden="1" customHeight="1" x14ac:dyDescent="0.25"/>
    <row r="55" spans="4:9" ht="15" hidden="1" customHeight="1" x14ac:dyDescent="0.25"/>
    <row r="56" spans="4:9" ht="15" hidden="1" customHeight="1" x14ac:dyDescent="0.25"/>
    <row r="57" spans="4:9" ht="15" hidden="1" customHeight="1" x14ac:dyDescent="0.25"/>
    <row r="58" spans="4:9" ht="0" hidden="1" customHeight="1" x14ac:dyDescent="0.25"/>
    <row r="59" spans="4:9" ht="0" hidden="1" customHeight="1" x14ac:dyDescent="0.25"/>
    <row r="60" spans="4:9" ht="0" hidden="1" customHeight="1" x14ac:dyDescent="0.25"/>
    <row r="61" spans="4:9" ht="0" hidden="1" customHeight="1" x14ac:dyDescent="0.25"/>
  </sheetData>
  <sheetProtection algorithmName="SHA-512" hashValue="G9E0pid6O1zhzeSeX6KX30Gr9J17XwFFoS/dFlGISmJJNvpi4o3iFwqiIHoNFO9gUhxpwjbgGUEpdLcoWL5Jig==" saltValue="YM8cXRPhkAfhbWDb7wR4+w==" spinCount="100000" sheet="1" objects="1" scenarios="1"/>
  <mergeCells count="13">
    <mergeCell ref="G3:G4"/>
    <mergeCell ref="H3:H4"/>
    <mergeCell ref="E7:F7"/>
    <mergeCell ref="E8:F8"/>
    <mergeCell ref="B1:B3"/>
    <mergeCell ref="B5:B12"/>
    <mergeCell ref="E5:F5"/>
    <mergeCell ref="E6:F6"/>
    <mergeCell ref="E12:F12"/>
    <mergeCell ref="E3:F4"/>
    <mergeCell ref="E9:F9"/>
    <mergeCell ref="E10:F10"/>
    <mergeCell ref="E11:F11"/>
  </mergeCells>
  <hyperlinks>
    <hyperlink ref="E5:F5" location="'LE-1 Site Selection'!B3" tooltip="LE-1 Site Selection" display="LE-1 Site Selection" xr:uid="{00000000-0004-0000-2800-000000000000}"/>
    <hyperlink ref="E6:F6" location="'LE-2 Site design'!B3" tooltip="LE-2 Site Design " display="LE-2 Site Design" xr:uid="{00000000-0004-0000-2800-000001000000}"/>
    <hyperlink ref="E7:F7" location="'LE-3 Vegetation'!D3" tooltip="LE-3 Vegetation" display="LE-3 Vegetation" xr:uid="{00000000-0004-0000-2800-000002000000}"/>
    <hyperlink ref="E8:F8" location="'LE-4 Heat Island Effect'!B3" tooltip="LE-4 Heat Island Effect" display="LE-4 Heat Island Effect" xr:uid="{00000000-0004-0000-2800-000003000000}"/>
    <hyperlink ref="E9:F9" location="'LE-5 Storm Water Runoff'!B3" tooltip="LE-5 Storm Water Runoff " display="LE-5 Storm Water Runoff" xr:uid="{00000000-0004-0000-2800-000004000000}"/>
    <hyperlink ref="E10:F10" location="'LE-6 Flood Risk Mitigation'!E3" tooltip="LE-6 Flood Risk Mitigation" display="LE-6 Flood Risk Mitigation" xr:uid="{00000000-0004-0000-2800-000005000000}"/>
    <hyperlink ref="E11:F11" location="'LE-7 Refrigerants'!E3" tooltip="LE-7 Refrigerants" display="LE-7 Refrigerants" xr:uid="{00000000-0004-0000-2800-000006000000}"/>
    <hyperlink ref="E12:F12" location="'LE-8 Recycling Storage Area'!B3" tooltip="LE-8 Waste Management" display="LE-8 Dedicated Recycling Storage Area " xr:uid="{00000000-0004-0000-2800-000007000000}"/>
  </hyperlinks>
  <pageMargins left="0.7" right="0.7" top="0.75" bottom="0.75" header="0.3" footer="0.3"/>
  <pageSetup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4">
    <tabColor rgb="FF76923C"/>
  </sheetPr>
  <dimension ref="A1:P152"/>
  <sheetViews>
    <sheetView showRowColHeaders="0" workbookViewId="0">
      <pane ySplit="8" topLeftCell="A27" activePane="bottomLeft" state="frozen"/>
      <selection activeCell="M21" sqref="M21"/>
      <selection pane="bottomLeft" activeCell="L3" sqref="L3"/>
    </sheetView>
  </sheetViews>
  <sheetFormatPr defaultColWidth="0" defaultRowHeight="15" zeroHeight="1" x14ac:dyDescent="0.25"/>
  <cols>
    <col min="1" max="1" width="3.7109375" style="38" customWidth="1"/>
    <col min="2" max="2" width="18.42578125" style="38" customWidth="1"/>
    <col min="3" max="3" width="18.7109375" style="38" customWidth="1"/>
    <col min="4" max="5" width="18.42578125" style="38" customWidth="1"/>
    <col min="6" max="6" width="17.7109375" style="38" customWidth="1"/>
    <col min="7" max="7" width="17.42578125" style="38" customWidth="1"/>
    <col min="8" max="8" width="19.140625" style="38" customWidth="1"/>
    <col min="9" max="9" width="13.5703125" style="38" customWidth="1"/>
    <col min="10" max="10" width="10.7109375" style="38" customWidth="1"/>
    <col min="11" max="13" width="8.7109375" style="38" customWidth="1"/>
    <col min="14" max="14" width="9.140625" style="38" hidden="1" customWidth="1"/>
    <col min="15" max="15" width="23.7109375" style="38" hidden="1" customWidth="1"/>
    <col min="16" max="16" width="15.28515625" style="38" hidden="1" customWidth="1"/>
    <col min="17" max="16384" width="9.140625" style="38" hidden="1"/>
  </cols>
  <sheetData>
    <row r="1" spans="1:14" ht="23.25" x14ac:dyDescent="0.25">
      <c r="A1" s="1348" t="s">
        <v>1</v>
      </c>
      <c r="B1" s="1348"/>
      <c r="C1" s="1348"/>
      <c r="D1" s="1348"/>
      <c r="E1" s="1348"/>
      <c r="F1" s="1348"/>
      <c r="G1" s="1348"/>
      <c r="H1" s="1348"/>
      <c r="I1" s="1348"/>
      <c r="J1" s="1348"/>
      <c r="K1" s="1348"/>
      <c r="L1" s="1348"/>
      <c r="M1" s="1348"/>
    </row>
    <row r="2" spans="1:14" ht="15" customHeight="1" x14ac:dyDescent="0.25">
      <c r="A2" s="49"/>
      <c r="B2" s="50"/>
      <c r="C2" s="50"/>
      <c r="D2" s="50"/>
      <c r="E2" s="50"/>
      <c r="F2" s="49"/>
      <c r="G2" s="49"/>
      <c r="H2" s="49"/>
      <c r="I2" s="1585" t="s">
        <v>1761</v>
      </c>
      <c r="J2" s="1585"/>
      <c r="K2" s="230" t="s">
        <v>61</v>
      </c>
      <c r="L2" s="230" t="s">
        <v>73</v>
      </c>
      <c r="M2" s="230"/>
    </row>
    <row r="3" spans="1:14" ht="15" customHeight="1" x14ac:dyDescent="0.25">
      <c r="A3" s="49"/>
      <c r="B3" s="50"/>
      <c r="C3" s="50"/>
      <c r="D3" s="50"/>
      <c r="E3" s="50"/>
      <c r="F3" s="49"/>
      <c r="G3" s="49"/>
      <c r="H3" s="49"/>
      <c r="I3" s="1585"/>
      <c r="J3" s="1585"/>
      <c r="K3" s="230" t="s">
        <v>65</v>
      </c>
      <c r="L3" s="230" t="s">
        <v>77</v>
      </c>
      <c r="M3" s="230" t="s">
        <v>155</v>
      </c>
    </row>
    <row r="4" spans="1:14" ht="15" customHeight="1" x14ac:dyDescent="0.25">
      <c r="A4" s="49"/>
      <c r="B4" s="50"/>
      <c r="C4" s="50"/>
      <c r="D4" s="50"/>
      <c r="E4" s="50"/>
      <c r="F4" s="49"/>
      <c r="G4" s="49"/>
      <c r="H4" s="49"/>
      <c r="I4" s="1822"/>
      <c r="J4" s="1822"/>
      <c r="K4" s="230" t="s">
        <v>69</v>
      </c>
      <c r="L4" s="230" t="s">
        <v>126</v>
      </c>
      <c r="M4" s="213"/>
    </row>
    <row r="5" spans="1:14" ht="21" customHeight="1" x14ac:dyDescent="0.25">
      <c r="A5" s="1823" t="s">
        <v>2654</v>
      </c>
      <c r="B5" s="1824"/>
      <c r="C5" s="1824"/>
      <c r="D5" s="1824"/>
      <c r="E5" s="1824"/>
      <c r="F5" s="1824"/>
      <c r="G5" s="1824"/>
      <c r="H5" s="1824"/>
      <c r="I5" s="1824"/>
      <c r="J5" s="1824"/>
      <c r="K5" s="1824"/>
      <c r="L5" s="1824"/>
      <c r="M5" s="1825"/>
    </row>
    <row r="6" spans="1:14" ht="21" customHeight="1" x14ac:dyDescent="0.25">
      <c r="A6" s="1826"/>
      <c r="B6" s="1604"/>
      <c r="C6" s="1604"/>
      <c r="D6" s="1604"/>
      <c r="E6" s="1604"/>
      <c r="F6" s="1604"/>
      <c r="G6" s="1604"/>
      <c r="H6" s="1604"/>
      <c r="I6" s="1604"/>
      <c r="J6" s="1604"/>
      <c r="K6" s="1604"/>
      <c r="L6" s="1604"/>
      <c r="M6" s="1827"/>
    </row>
    <row r="7" spans="1:14" ht="21" customHeight="1" x14ac:dyDescent="0.25">
      <c r="A7" s="1828"/>
      <c r="B7" s="1829"/>
      <c r="C7" s="1829"/>
      <c r="D7" s="1829"/>
      <c r="E7" s="1829"/>
      <c r="F7" s="1829"/>
      <c r="G7" s="1829"/>
      <c r="H7" s="1829"/>
      <c r="I7" s="1829"/>
      <c r="J7" s="1829"/>
      <c r="K7" s="1829"/>
      <c r="L7" s="1829"/>
      <c r="M7" s="1830"/>
    </row>
    <row r="8" spans="1:14" ht="12" customHeight="1" x14ac:dyDescent="0.25">
      <c r="A8" s="50"/>
      <c r="B8" s="50"/>
      <c r="C8" s="50"/>
      <c r="D8" s="50"/>
      <c r="E8" s="50"/>
      <c r="F8" s="49"/>
      <c r="G8" s="49"/>
      <c r="H8" s="49"/>
      <c r="I8" s="49"/>
      <c r="J8" s="49"/>
      <c r="K8" s="49"/>
      <c r="L8" s="49"/>
      <c r="M8" s="49"/>
    </row>
    <row r="9" spans="1:14" ht="18" customHeight="1" x14ac:dyDescent="0.25">
      <c r="A9" s="2180" t="s">
        <v>177</v>
      </c>
      <c r="B9" s="2180"/>
      <c r="C9" s="2180"/>
      <c r="D9" s="2180"/>
      <c r="E9" s="2180"/>
      <c r="F9" s="2180"/>
      <c r="G9" s="2180"/>
      <c r="H9" s="2180"/>
      <c r="I9" s="2180"/>
      <c r="J9" s="2180"/>
      <c r="K9" s="2180"/>
      <c r="L9" s="2180"/>
      <c r="M9" s="2180"/>
    </row>
    <row r="10" spans="1:14" x14ac:dyDescent="0.25">
      <c r="A10" s="49"/>
      <c r="B10" s="50"/>
      <c r="C10" s="50"/>
      <c r="D10" s="50"/>
      <c r="E10" s="50"/>
      <c r="F10" s="49"/>
      <c r="G10" s="49"/>
      <c r="H10" s="49"/>
      <c r="I10" s="49"/>
      <c r="J10" s="49"/>
      <c r="K10" s="49"/>
      <c r="L10" s="49"/>
      <c r="M10" s="49"/>
    </row>
    <row r="11" spans="1:14" ht="23.25" customHeight="1" x14ac:dyDescent="0.25">
      <c r="A11" s="49"/>
      <c r="B11" s="2181" t="s">
        <v>178</v>
      </c>
      <c r="C11" s="2182"/>
      <c r="D11" s="2182"/>
      <c r="E11" s="2182"/>
      <c r="F11" s="640" t="s">
        <v>152</v>
      </c>
      <c r="G11" s="640" t="s">
        <v>53</v>
      </c>
      <c r="H11" s="56" t="s">
        <v>492</v>
      </c>
      <c r="I11" s="49"/>
      <c r="J11" s="49"/>
      <c r="K11" s="49"/>
      <c r="L11" s="49"/>
      <c r="M11" s="49"/>
    </row>
    <row r="12" spans="1:14" ht="28.5" customHeight="1" x14ac:dyDescent="0.25">
      <c r="A12" s="49"/>
      <c r="B12" s="1611" t="s">
        <v>1195</v>
      </c>
      <c r="C12" s="1612"/>
      <c r="D12" s="1612"/>
      <c r="E12" s="2021"/>
      <c r="F12" s="55">
        <v>1</v>
      </c>
      <c r="G12" s="55">
        <f>C55</f>
        <v>0</v>
      </c>
      <c r="H12" s="55" t="str">
        <f>C56</f>
        <v>No</v>
      </c>
      <c r="I12" s="49"/>
      <c r="J12" s="49"/>
      <c r="K12" s="49"/>
      <c r="L12" s="49"/>
      <c r="M12" s="49"/>
      <c r="N12" s="38" t="str">
        <f>IF(G12&lt;&gt;0,IF(H12="No","No","Yes"),"Yes")</f>
        <v>Yes</v>
      </c>
    </row>
    <row r="13" spans="1:14" ht="28.5" customHeight="1" x14ac:dyDescent="0.25">
      <c r="A13" s="49"/>
      <c r="B13" s="1611" t="s">
        <v>187</v>
      </c>
      <c r="C13" s="1612"/>
      <c r="D13" s="1612"/>
      <c r="E13" s="2021"/>
      <c r="F13" s="55">
        <v>1</v>
      </c>
      <c r="G13" s="55">
        <f>C79</f>
        <v>0</v>
      </c>
      <c r="H13" s="55" t="str">
        <f>C80</f>
        <v>No</v>
      </c>
      <c r="I13" s="49"/>
      <c r="J13" s="49"/>
      <c r="K13" s="49"/>
      <c r="L13" s="49"/>
      <c r="M13" s="49"/>
      <c r="N13" s="38" t="str">
        <f t="shared" ref="N13:N15" si="0">IF(G13&lt;&gt;0,IF(H13="No","No","Yes"),"Yes")</f>
        <v>Yes</v>
      </c>
    </row>
    <row r="14" spans="1:14" ht="40.5" customHeight="1" x14ac:dyDescent="0.25">
      <c r="A14" s="49"/>
      <c r="B14" s="1611" t="s">
        <v>1202</v>
      </c>
      <c r="C14" s="1612"/>
      <c r="D14" s="1612"/>
      <c r="E14" s="2021"/>
      <c r="F14" s="55">
        <v>2</v>
      </c>
      <c r="G14" s="55" t="str">
        <f>C101</f>
        <v>0</v>
      </c>
      <c r="H14" s="55" t="str">
        <f>C102</f>
        <v>No</v>
      </c>
      <c r="I14" s="49"/>
      <c r="J14" s="49"/>
      <c r="K14" s="49"/>
      <c r="L14" s="49"/>
      <c r="M14" s="49"/>
      <c r="N14" s="38" t="str">
        <f>IF(G14&lt;&gt;0,IF(H14="No","No","Yes"),"Yes")</f>
        <v>No</v>
      </c>
    </row>
    <row r="15" spans="1:14" ht="28.5" customHeight="1" x14ac:dyDescent="0.25">
      <c r="A15" s="49"/>
      <c r="B15" s="1611" t="s">
        <v>1624</v>
      </c>
      <c r="C15" s="1612"/>
      <c r="D15" s="1612"/>
      <c r="E15" s="2021"/>
      <c r="F15" s="55">
        <v>1</v>
      </c>
      <c r="G15" s="55">
        <f>C132</f>
        <v>0</v>
      </c>
      <c r="H15" s="55" t="str">
        <f>C133</f>
        <v>No</v>
      </c>
      <c r="I15" s="49"/>
      <c r="J15" s="49"/>
      <c r="K15" s="49"/>
      <c r="L15" s="49"/>
      <c r="M15" s="49"/>
      <c r="N15" s="38" t="str">
        <f t="shared" si="0"/>
        <v>Yes</v>
      </c>
    </row>
    <row r="16" spans="1:14" ht="21" customHeight="1" x14ac:dyDescent="0.25">
      <c r="A16" s="49"/>
      <c r="B16" s="1613" t="s">
        <v>79</v>
      </c>
      <c r="C16" s="1748"/>
      <c r="D16" s="1748"/>
      <c r="E16" s="1749"/>
      <c r="F16" s="631">
        <v>5</v>
      </c>
      <c r="G16" s="631">
        <f>MIN(5,SUM(G12:G15))</f>
        <v>0</v>
      </c>
      <c r="H16" s="631" t="str">
        <f>IF(COUNTIF(H12:H15,"No")=4,"No",IF(COUNTIF(N12:N15,"Yes")=4,"Yes","No"))</f>
        <v>No</v>
      </c>
      <c r="I16" s="49"/>
      <c r="J16" s="49"/>
      <c r="K16" s="49"/>
      <c r="L16" s="49"/>
      <c r="M16" s="49"/>
    </row>
    <row r="17" spans="1:13" x14ac:dyDescent="0.25">
      <c r="A17" s="49"/>
      <c r="B17" s="50"/>
      <c r="C17" s="50"/>
      <c r="D17" s="50"/>
      <c r="E17" s="50"/>
      <c r="F17" s="49"/>
      <c r="G17" s="49"/>
      <c r="H17" s="49"/>
      <c r="I17" s="49"/>
      <c r="J17" s="49"/>
      <c r="K17" s="49"/>
      <c r="L17" s="49"/>
      <c r="M17" s="49"/>
    </row>
    <row r="18" spans="1:13" ht="18" customHeight="1" x14ac:dyDescent="0.25">
      <c r="A18" s="2180" t="s">
        <v>1196</v>
      </c>
      <c r="B18" s="2180"/>
      <c r="C18" s="2180"/>
      <c r="D18" s="2180"/>
      <c r="E18" s="2180"/>
      <c r="F18" s="2180"/>
      <c r="G18" s="2180"/>
      <c r="H18" s="2180"/>
      <c r="I18" s="2180"/>
      <c r="J18" s="2180"/>
      <c r="K18" s="2180"/>
      <c r="L18" s="2180"/>
      <c r="M18" s="2180"/>
    </row>
    <row r="19" spans="1:13" x14ac:dyDescent="0.25">
      <c r="A19" s="49"/>
      <c r="B19" s="50"/>
      <c r="C19" s="50"/>
      <c r="D19" s="50"/>
      <c r="E19" s="50"/>
      <c r="F19" s="49"/>
      <c r="G19" s="49"/>
      <c r="H19" s="49"/>
      <c r="I19" s="49"/>
      <c r="J19" s="49"/>
      <c r="K19" s="49"/>
      <c r="L19" s="49"/>
      <c r="M19" s="49"/>
    </row>
    <row r="20" spans="1:13" ht="16.5" customHeight="1" x14ac:dyDescent="0.25">
      <c r="A20" s="2166" t="s">
        <v>245</v>
      </c>
      <c r="B20" s="2166"/>
      <c r="C20" s="2166"/>
      <c r="D20" s="50"/>
      <c r="E20" s="50"/>
      <c r="F20" s="49"/>
      <c r="G20" s="49"/>
      <c r="H20" s="49"/>
      <c r="I20" s="49"/>
      <c r="J20" s="49"/>
      <c r="K20" s="49"/>
      <c r="L20" s="49"/>
      <c r="M20" s="49"/>
    </row>
    <row r="21" spans="1:13" x14ac:dyDescent="0.25">
      <c r="A21" s="49"/>
      <c r="B21" s="50"/>
      <c r="C21" s="50"/>
      <c r="D21" s="50"/>
      <c r="E21" s="50"/>
      <c r="F21" s="49"/>
      <c r="G21" s="49"/>
      <c r="H21" s="49"/>
      <c r="I21" s="49"/>
      <c r="J21" s="49"/>
      <c r="K21" s="49"/>
      <c r="L21" s="49"/>
      <c r="M21" s="49"/>
    </row>
    <row r="22" spans="1:13" x14ac:dyDescent="0.25">
      <c r="A22" s="49"/>
      <c r="B22" s="641" t="s">
        <v>1194</v>
      </c>
      <c r="C22" s="50"/>
      <c r="D22" s="50"/>
      <c r="E22" s="50"/>
      <c r="F22" s="49"/>
      <c r="G22" s="49"/>
      <c r="H22" s="49"/>
      <c r="I22" s="49"/>
      <c r="J22" s="49"/>
      <c r="K22" s="49"/>
      <c r="L22" s="49"/>
      <c r="M22" s="49"/>
    </row>
    <row r="23" spans="1:13" ht="18.75" customHeight="1" x14ac:dyDescent="0.25">
      <c r="A23" s="49"/>
      <c r="B23" s="50"/>
      <c r="C23" s="50"/>
      <c r="D23" s="50"/>
      <c r="E23" s="50"/>
      <c r="F23" s="49"/>
      <c r="G23" s="49"/>
      <c r="H23" s="49"/>
      <c r="I23" s="49"/>
      <c r="J23" s="49"/>
      <c r="K23" s="49"/>
      <c r="L23" s="49"/>
      <c r="M23" s="49"/>
    </row>
    <row r="24" spans="1:13" ht="16.5" customHeight="1" x14ac:dyDescent="0.25">
      <c r="A24" s="49"/>
      <c r="B24" s="642" t="s">
        <v>1174</v>
      </c>
      <c r="C24" s="50"/>
      <c r="D24" s="50"/>
      <c r="E24" s="50"/>
      <c r="F24" s="49"/>
      <c r="G24" s="49"/>
      <c r="H24" s="49"/>
      <c r="I24" s="49"/>
      <c r="J24" s="49"/>
      <c r="K24" s="49"/>
      <c r="L24" s="49"/>
      <c r="M24" s="49"/>
    </row>
    <row r="25" spans="1:13" ht="9" customHeight="1" x14ac:dyDescent="0.25">
      <c r="A25" s="49"/>
      <c r="B25" s="50"/>
      <c r="C25" s="50"/>
      <c r="D25" s="50"/>
      <c r="E25" s="50"/>
      <c r="F25" s="49"/>
      <c r="G25" s="49"/>
      <c r="H25" s="49"/>
      <c r="I25" s="49"/>
      <c r="J25" s="49"/>
      <c r="K25" s="49"/>
      <c r="L25" s="49"/>
      <c r="M25" s="49"/>
    </row>
    <row r="26" spans="1:13" ht="19.5" customHeight="1" x14ac:dyDescent="0.25">
      <c r="A26" s="49"/>
      <c r="B26" s="2170" t="s">
        <v>1192</v>
      </c>
      <c r="C26" s="2171"/>
      <c r="D26" s="2171"/>
      <c r="E26" s="2171"/>
      <c r="F26" s="2171"/>
      <c r="G26" s="2172"/>
      <c r="H26" s="49"/>
      <c r="I26" s="49"/>
      <c r="J26" s="49"/>
      <c r="K26" s="49"/>
      <c r="L26" s="49"/>
      <c r="M26" s="49"/>
    </row>
    <row r="27" spans="1:13" ht="15" customHeight="1" x14ac:dyDescent="0.25">
      <c r="A27" s="49"/>
      <c r="B27" s="2173" t="s">
        <v>1175</v>
      </c>
      <c r="C27" s="2174"/>
      <c r="D27" s="2174"/>
      <c r="E27" s="2174"/>
      <c r="F27" s="2174"/>
      <c r="G27" s="2175"/>
      <c r="H27" s="49"/>
      <c r="I27" s="49"/>
      <c r="J27" s="49"/>
      <c r="K27" s="49"/>
      <c r="L27" s="49"/>
      <c r="M27" s="49"/>
    </row>
    <row r="28" spans="1:13" ht="15" customHeight="1" x14ac:dyDescent="0.25">
      <c r="A28" s="49"/>
      <c r="B28" s="2177" t="s">
        <v>1176</v>
      </c>
      <c r="C28" s="2178"/>
      <c r="D28" s="2178"/>
      <c r="E28" s="2178"/>
      <c r="F28" s="2178"/>
      <c r="G28" s="2179"/>
      <c r="H28" s="49"/>
      <c r="I28" s="49"/>
      <c r="J28" s="49"/>
      <c r="K28" s="49"/>
      <c r="L28" s="49"/>
      <c r="M28" s="49"/>
    </row>
    <row r="29" spans="1:13" ht="30.75" customHeight="1" x14ac:dyDescent="0.25">
      <c r="A29" s="49"/>
      <c r="B29" s="1576" t="s">
        <v>1179</v>
      </c>
      <c r="C29" s="1577"/>
      <c r="D29" s="1577"/>
      <c r="E29" s="1577"/>
      <c r="F29" s="1578"/>
      <c r="G29" s="240" t="s">
        <v>124</v>
      </c>
      <c r="H29" s="49"/>
      <c r="I29" s="49"/>
      <c r="J29" s="49"/>
      <c r="K29" s="49"/>
      <c r="L29" s="49"/>
      <c r="M29" s="49"/>
    </row>
    <row r="30" spans="1:13" ht="18" customHeight="1" x14ac:dyDescent="0.25">
      <c r="A30" s="49"/>
      <c r="B30" s="1576" t="s">
        <v>1180</v>
      </c>
      <c r="C30" s="1577"/>
      <c r="D30" s="1577"/>
      <c r="E30" s="1577"/>
      <c r="F30" s="1578"/>
      <c r="G30" s="650" t="s">
        <v>124</v>
      </c>
      <c r="H30" s="49"/>
      <c r="I30" s="49"/>
      <c r="J30" s="49"/>
      <c r="K30" s="49"/>
      <c r="L30" s="49"/>
      <c r="M30" s="49"/>
    </row>
    <row r="31" spans="1:13" ht="18" customHeight="1" x14ac:dyDescent="0.25">
      <c r="A31" s="49"/>
      <c r="B31" s="1576" t="s">
        <v>1181</v>
      </c>
      <c r="C31" s="1577"/>
      <c r="D31" s="1577"/>
      <c r="E31" s="1577"/>
      <c r="F31" s="1578"/>
      <c r="G31" s="650" t="s">
        <v>124</v>
      </c>
      <c r="H31" s="49"/>
      <c r="I31" s="49"/>
      <c r="J31" s="49"/>
      <c r="K31" s="49"/>
      <c r="L31" s="49"/>
      <c r="M31" s="49"/>
    </row>
    <row r="32" spans="1:13" ht="18" customHeight="1" x14ac:dyDescent="0.25">
      <c r="A32" s="49"/>
      <c r="B32" s="1576" t="s">
        <v>1182</v>
      </c>
      <c r="C32" s="1577"/>
      <c r="D32" s="1577"/>
      <c r="E32" s="1577"/>
      <c r="F32" s="1578"/>
      <c r="G32" s="650" t="s">
        <v>124</v>
      </c>
      <c r="H32" s="49"/>
      <c r="I32" s="49"/>
      <c r="J32" s="49"/>
      <c r="K32" s="49"/>
      <c r="L32" s="49"/>
      <c r="M32" s="49"/>
    </row>
    <row r="33" spans="1:14" ht="18" customHeight="1" x14ac:dyDescent="0.25">
      <c r="A33" s="49"/>
      <c r="B33" s="1576" t="s">
        <v>1183</v>
      </c>
      <c r="C33" s="1577"/>
      <c r="D33" s="1577"/>
      <c r="E33" s="1577"/>
      <c r="F33" s="1578"/>
      <c r="G33" s="650" t="s">
        <v>124</v>
      </c>
      <c r="H33" s="49"/>
      <c r="I33" s="49"/>
      <c r="J33" s="49"/>
      <c r="K33" s="49"/>
      <c r="L33" s="49"/>
      <c r="M33" s="49"/>
    </row>
    <row r="34" spans="1:14" ht="18" customHeight="1" x14ac:dyDescent="0.25">
      <c r="A34" s="49"/>
      <c r="B34" s="1576" t="s">
        <v>1184</v>
      </c>
      <c r="C34" s="1577"/>
      <c r="D34" s="1577"/>
      <c r="E34" s="1577"/>
      <c r="F34" s="1578"/>
      <c r="G34" s="650" t="s">
        <v>124</v>
      </c>
      <c r="H34" s="49"/>
      <c r="I34" s="49"/>
      <c r="J34" s="49"/>
      <c r="K34" s="49"/>
      <c r="L34" s="49"/>
      <c r="M34" s="49"/>
    </row>
    <row r="35" spans="1:14" x14ac:dyDescent="0.25">
      <c r="A35" s="49"/>
      <c r="B35" s="50"/>
      <c r="C35" s="50"/>
      <c r="D35" s="50"/>
      <c r="E35" s="50"/>
      <c r="F35" s="49"/>
      <c r="G35" s="49"/>
      <c r="H35" s="49"/>
      <c r="I35" s="49"/>
      <c r="J35" s="49"/>
      <c r="K35" s="49"/>
      <c r="L35" s="49"/>
      <c r="M35" s="49"/>
    </row>
    <row r="36" spans="1:14" ht="19.5" customHeight="1" x14ac:dyDescent="0.25">
      <c r="A36" s="49"/>
      <c r="B36" s="2170" t="s">
        <v>1178</v>
      </c>
      <c r="C36" s="2171"/>
      <c r="D36" s="2171"/>
      <c r="E36" s="2171"/>
      <c r="F36" s="2171"/>
      <c r="G36" s="2172"/>
      <c r="H36" s="49"/>
      <c r="I36" s="49"/>
      <c r="J36" s="49"/>
      <c r="K36" s="49"/>
      <c r="L36" s="49"/>
      <c r="M36" s="49"/>
    </row>
    <row r="37" spans="1:14" ht="18" customHeight="1" x14ac:dyDescent="0.25">
      <c r="A37" s="49"/>
      <c r="B37" s="2176" t="s">
        <v>1177</v>
      </c>
      <c r="C37" s="2176"/>
      <c r="D37" s="2176"/>
      <c r="E37" s="2176"/>
      <c r="F37" s="2176"/>
      <c r="G37" s="2176"/>
      <c r="H37" s="49"/>
      <c r="I37" s="49"/>
      <c r="J37" s="49"/>
      <c r="K37" s="49"/>
      <c r="L37" s="49"/>
      <c r="M37" s="49"/>
    </row>
    <row r="38" spans="1:14" ht="18" customHeight="1" x14ac:dyDescent="0.25">
      <c r="A38" s="49"/>
      <c r="B38" s="1576" t="s">
        <v>1185</v>
      </c>
      <c r="C38" s="1577"/>
      <c r="D38" s="1577"/>
      <c r="E38" s="1577"/>
      <c r="F38" s="1578"/>
      <c r="G38" s="471" t="s">
        <v>124</v>
      </c>
      <c r="H38" s="49"/>
      <c r="I38" s="49"/>
      <c r="J38" s="49"/>
      <c r="K38" s="49"/>
      <c r="L38" s="49"/>
      <c r="M38" s="49"/>
    </row>
    <row r="39" spans="1:14" ht="28.5" customHeight="1" x14ac:dyDescent="0.25">
      <c r="A39" s="49"/>
      <c r="B39" s="1576" t="s">
        <v>1186</v>
      </c>
      <c r="C39" s="1577"/>
      <c r="D39" s="1577"/>
      <c r="E39" s="1577"/>
      <c r="F39" s="1578"/>
      <c r="G39" s="471" t="s">
        <v>124</v>
      </c>
      <c r="H39" s="49"/>
      <c r="I39" s="49"/>
      <c r="J39" s="49"/>
      <c r="K39" s="49"/>
      <c r="L39" s="49"/>
      <c r="M39" s="49"/>
    </row>
    <row r="40" spans="1:14" ht="40.5" customHeight="1" x14ac:dyDescent="0.25">
      <c r="A40" s="49"/>
      <c r="B40" s="1576" t="s">
        <v>1187</v>
      </c>
      <c r="C40" s="1577"/>
      <c r="D40" s="1577"/>
      <c r="E40" s="1577"/>
      <c r="F40" s="1578"/>
      <c r="G40" s="471" t="s">
        <v>124</v>
      </c>
      <c r="H40" s="49"/>
      <c r="I40" s="49"/>
      <c r="J40" s="49"/>
      <c r="K40" s="49"/>
      <c r="L40" s="49"/>
      <c r="M40" s="49"/>
    </row>
    <row r="41" spans="1:14" ht="28.5" customHeight="1" x14ac:dyDescent="0.25">
      <c r="A41" s="49"/>
      <c r="B41" s="1576" t="s">
        <v>1188</v>
      </c>
      <c r="C41" s="1577"/>
      <c r="D41" s="1577"/>
      <c r="E41" s="1577"/>
      <c r="F41" s="1578"/>
      <c r="G41" s="471" t="s">
        <v>124</v>
      </c>
      <c r="H41" s="49"/>
      <c r="I41" s="49"/>
      <c r="J41" s="49"/>
      <c r="K41" s="49"/>
      <c r="L41" s="49"/>
      <c r="M41" s="49"/>
    </row>
    <row r="42" spans="1:14" ht="28.5" customHeight="1" x14ac:dyDescent="0.25">
      <c r="A42" s="49"/>
      <c r="B42" s="1576" t="s">
        <v>1189</v>
      </c>
      <c r="C42" s="1577"/>
      <c r="D42" s="1577"/>
      <c r="E42" s="1577"/>
      <c r="F42" s="1578"/>
      <c r="G42" s="471" t="s">
        <v>124</v>
      </c>
      <c r="H42" s="49"/>
      <c r="I42" s="49"/>
      <c r="J42" s="49"/>
      <c r="K42" s="49"/>
      <c r="L42" s="49"/>
      <c r="M42" s="49"/>
    </row>
    <row r="43" spans="1:14" ht="28.5" customHeight="1" x14ac:dyDescent="0.25">
      <c r="A43" s="49"/>
      <c r="B43" s="1576" t="s">
        <v>1190</v>
      </c>
      <c r="C43" s="1577"/>
      <c r="D43" s="1577"/>
      <c r="E43" s="1577"/>
      <c r="F43" s="1578"/>
      <c r="G43" s="471" t="s">
        <v>124</v>
      </c>
      <c r="H43" s="49"/>
      <c r="I43" s="49"/>
      <c r="J43" s="49"/>
      <c r="K43" s="49"/>
      <c r="L43" s="49"/>
      <c r="M43" s="49"/>
    </row>
    <row r="44" spans="1:14" ht="28.5" customHeight="1" x14ac:dyDescent="0.25">
      <c r="A44" s="49"/>
      <c r="B44" s="1576" t="s">
        <v>1191</v>
      </c>
      <c r="C44" s="1577"/>
      <c r="D44" s="1577"/>
      <c r="E44" s="1577"/>
      <c r="F44" s="1578"/>
      <c r="G44" s="471" t="s">
        <v>124</v>
      </c>
      <c r="H44" s="49"/>
      <c r="I44" s="49"/>
      <c r="J44" s="49"/>
      <c r="K44" s="49"/>
      <c r="L44" s="49"/>
      <c r="M44" s="49"/>
    </row>
    <row r="45" spans="1:14" ht="18" customHeight="1" x14ac:dyDescent="0.25">
      <c r="A45" s="49"/>
      <c r="B45" s="50"/>
      <c r="C45" s="50"/>
      <c r="D45" s="50"/>
      <c r="E45" s="50"/>
      <c r="F45" s="49"/>
      <c r="G45" s="49"/>
      <c r="H45" s="49"/>
      <c r="I45" s="49"/>
      <c r="J45" s="49"/>
      <c r="K45" s="49"/>
      <c r="L45" s="49"/>
      <c r="M45" s="49"/>
    </row>
    <row r="46" spans="1:14" ht="18" customHeight="1" x14ac:dyDescent="0.25">
      <c r="A46" s="49"/>
      <c r="B46" s="2169" t="s">
        <v>1197</v>
      </c>
      <c r="C46" s="2169"/>
      <c r="D46" s="659" t="str">
        <f>IF(COUNTIF(G29:G34,"No")&lt;6,"No",IF(COUNTIF(G38:G44,"Yes")&lt;1,"No","Yes"))</f>
        <v>No</v>
      </c>
      <c r="E46" s="50"/>
      <c r="F46" s="49"/>
      <c r="G46" s="49"/>
      <c r="H46" s="49"/>
      <c r="I46" s="49"/>
      <c r="J46" s="49"/>
      <c r="K46" s="49"/>
      <c r="L46" s="49"/>
      <c r="M46" s="49"/>
    </row>
    <row r="47" spans="1:14" ht="18" customHeight="1" x14ac:dyDescent="0.25">
      <c r="A47" s="49"/>
      <c r="B47" s="50"/>
      <c r="C47" s="50"/>
      <c r="D47" s="50"/>
      <c r="E47" s="50"/>
      <c r="F47" s="49"/>
      <c r="G47" s="49"/>
      <c r="H47" s="49"/>
      <c r="I47" s="49"/>
      <c r="J47" s="49"/>
      <c r="K47" s="49"/>
      <c r="L47" s="49"/>
      <c r="M47" s="49"/>
    </row>
    <row r="48" spans="1:14" ht="16.5" customHeight="1" x14ac:dyDescent="0.25">
      <c r="A48" s="2166" t="s">
        <v>186</v>
      </c>
      <c r="B48" s="2166"/>
      <c r="C48" s="2166"/>
      <c r="D48" s="50"/>
      <c r="E48" s="50"/>
      <c r="F48" s="50"/>
      <c r="G48" s="50"/>
      <c r="H48" s="50"/>
      <c r="I48" s="50"/>
      <c r="J48" s="50"/>
      <c r="K48" s="50"/>
      <c r="L48" s="50"/>
      <c r="M48" s="50"/>
      <c r="N48" s="50"/>
    </row>
    <row r="49" spans="1:14" x14ac:dyDescent="0.25">
      <c r="A49" s="49"/>
      <c r="B49" s="50"/>
      <c r="C49" s="50"/>
      <c r="D49" s="50"/>
      <c r="E49" s="49"/>
      <c r="F49" s="49"/>
      <c r="G49" s="49"/>
      <c r="H49" s="49"/>
      <c r="I49" s="49"/>
      <c r="J49" s="49"/>
      <c r="K49" s="49"/>
      <c r="L49" s="49"/>
      <c r="M49" s="49"/>
      <c r="N49" s="49"/>
    </row>
    <row r="50" spans="1:14" ht="21" customHeight="1" x14ac:dyDescent="0.25">
      <c r="A50" s="49"/>
      <c r="B50" s="2183" t="s">
        <v>1739</v>
      </c>
      <c r="C50" s="2184"/>
      <c r="D50" s="2184"/>
      <c r="E50" s="2184"/>
      <c r="F50" s="2184"/>
      <c r="G50" s="1100" t="s">
        <v>1737</v>
      </c>
      <c r="H50" s="2185" t="s">
        <v>1738</v>
      </c>
      <c r="I50" s="2186"/>
      <c r="J50" s="49"/>
      <c r="K50" s="49"/>
      <c r="L50" s="49"/>
      <c r="M50" s="49"/>
      <c r="N50" s="49"/>
    </row>
    <row r="51" spans="1:14" ht="30" customHeight="1" x14ac:dyDescent="0.25">
      <c r="A51" s="49"/>
      <c r="B51" s="2079" t="s">
        <v>1137</v>
      </c>
      <c r="C51" s="2080"/>
      <c r="D51" s="2080"/>
      <c r="E51" s="2080"/>
      <c r="F51" s="2156"/>
      <c r="G51" s="1164" t="s">
        <v>124</v>
      </c>
      <c r="H51" s="1931"/>
      <c r="I51" s="1932"/>
      <c r="J51" s="49"/>
      <c r="K51" s="49"/>
      <c r="L51" s="49"/>
      <c r="M51" s="49"/>
      <c r="N51" s="49"/>
    </row>
    <row r="52" spans="1:14" ht="19.5" customHeight="1" x14ac:dyDescent="0.25">
      <c r="A52" s="49"/>
      <c r="B52" s="50"/>
      <c r="C52" s="50"/>
      <c r="D52" s="50"/>
      <c r="E52" s="50"/>
      <c r="F52" s="49"/>
      <c r="G52" s="49"/>
      <c r="H52" s="49"/>
      <c r="I52" s="49"/>
      <c r="J52" s="49"/>
      <c r="K52" s="49"/>
      <c r="L52" s="49"/>
      <c r="M52" s="49"/>
    </row>
    <row r="53" spans="1:14" ht="16.5" customHeight="1" x14ac:dyDescent="0.25">
      <c r="A53" s="2166" t="s">
        <v>22</v>
      </c>
      <c r="B53" s="2166"/>
      <c r="C53" s="2166"/>
      <c r="D53" s="50"/>
      <c r="E53" s="50"/>
      <c r="F53" s="49"/>
      <c r="G53" s="49"/>
      <c r="H53" s="49"/>
      <c r="I53" s="49"/>
      <c r="J53" s="49"/>
      <c r="K53" s="49"/>
      <c r="L53" s="49"/>
      <c r="M53" s="49"/>
    </row>
    <row r="54" spans="1:14" x14ac:dyDescent="0.25">
      <c r="A54" s="49"/>
      <c r="B54" s="50"/>
      <c r="C54" s="50"/>
      <c r="D54" s="50"/>
      <c r="E54" s="50"/>
      <c r="F54" s="49"/>
      <c r="G54" s="49"/>
      <c r="H54" s="49"/>
      <c r="I54" s="49"/>
      <c r="J54" s="49"/>
      <c r="K54" s="49"/>
      <c r="L54" s="49"/>
      <c r="M54" s="49"/>
    </row>
    <row r="55" spans="1:14" ht="18" customHeight="1" x14ac:dyDescent="0.25">
      <c r="A55" s="49"/>
      <c r="B55" s="241" t="s">
        <v>53</v>
      </c>
      <c r="C55" s="1335">
        <f>IF(D46="Yes",1,0)</f>
        <v>0</v>
      </c>
      <c r="D55" s="50"/>
      <c r="E55" s="50"/>
      <c r="F55" s="49"/>
      <c r="G55" s="49"/>
      <c r="H55" s="49"/>
      <c r="I55" s="49"/>
      <c r="J55" s="49"/>
      <c r="K55" s="49"/>
      <c r="L55" s="49"/>
      <c r="M55" s="49"/>
    </row>
    <row r="56" spans="1:14" ht="18" customHeight="1" x14ac:dyDescent="0.25">
      <c r="A56" s="49"/>
      <c r="B56" s="245" t="s">
        <v>492</v>
      </c>
      <c r="C56" s="1335" t="str">
        <f>IF(AND(G51="Submitted",C55&gt;0),"Yes","No")</f>
        <v>No</v>
      </c>
      <c r="D56" s="49"/>
      <c r="E56" s="49"/>
      <c r="F56" s="49"/>
      <c r="G56" s="49"/>
      <c r="H56" s="49"/>
      <c r="I56" s="49"/>
      <c r="J56" s="49"/>
      <c r="K56" s="49"/>
      <c r="L56" s="49"/>
      <c r="M56" s="49"/>
    </row>
    <row r="57" spans="1:14" ht="18" customHeight="1" x14ac:dyDescent="0.25">
      <c r="A57" s="49"/>
      <c r="B57" s="50"/>
      <c r="C57" s="50"/>
      <c r="D57" s="50"/>
      <c r="E57" s="50"/>
      <c r="F57" s="49"/>
      <c r="G57" s="49"/>
      <c r="H57" s="49"/>
      <c r="I57" s="49"/>
      <c r="J57" s="49"/>
      <c r="K57" s="49"/>
      <c r="L57" s="49"/>
      <c r="M57" s="49"/>
    </row>
    <row r="58" spans="1:14" ht="18" customHeight="1" x14ac:dyDescent="0.25">
      <c r="A58" s="2180" t="s">
        <v>188</v>
      </c>
      <c r="B58" s="2180"/>
      <c r="C58" s="2180"/>
      <c r="D58" s="2180"/>
      <c r="E58" s="2180"/>
      <c r="F58" s="2180"/>
      <c r="G58" s="2180"/>
      <c r="H58" s="2180"/>
      <c r="I58" s="2180"/>
      <c r="J58" s="2180"/>
      <c r="K58" s="2180"/>
      <c r="L58" s="2180"/>
      <c r="M58" s="2180"/>
    </row>
    <row r="59" spans="1:14" x14ac:dyDescent="0.25">
      <c r="A59" s="49"/>
      <c r="B59" s="49"/>
      <c r="C59" s="49"/>
      <c r="D59" s="49"/>
      <c r="E59" s="49"/>
      <c r="F59" s="49"/>
      <c r="G59" s="49"/>
      <c r="H59" s="49"/>
      <c r="I59" s="49"/>
      <c r="J59" s="49"/>
      <c r="K59" s="49"/>
      <c r="L59" s="49"/>
      <c r="M59" s="49"/>
    </row>
    <row r="60" spans="1:14" ht="16.5" customHeight="1" x14ac:dyDescent="0.25">
      <c r="A60" s="2166" t="s">
        <v>245</v>
      </c>
      <c r="B60" s="2166"/>
      <c r="C60" s="2166"/>
      <c r="D60" s="49"/>
      <c r="E60" s="49"/>
      <c r="F60" s="49"/>
      <c r="G60" s="49"/>
      <c r="H60" s="49"/>
      <c r="I60" s="49"/>
      <c r="J60" s="49"/>
      <c r="K60" s="49"/>
      <c r="L60" s="49"/>
      <c r="M60" s="49"/>
    </row>
    <row r="61" spans="1:14" x14ac:dyDescent="0.25">
      <c r="A61" s="49"/>
      <c r="B61" s="50"/>
      <c r="C61" s="50"/>
      <c r="D61" s="49"/>
      <c r="E61" s="49"/>
      <c r="F61" s="49"/>
      <c r="G61" s="49"/>
      <c r="H61" s="49"/>
      <c r="I61" s="49"/>
      <c r="J61" s="49"/>
      <c r="K61" s="49"/>
      <c r="L61" s="49"/>
      <c r="M61" s="49"/>
    </row>
    <row r="62" spans="1:14" x14ac:dyDescent="0.25">
      <c r="A62" s="49"/>
      <c r="B62" s="641" t="s">
        <v>1140</v>
      </c>
      <c r="C62" s="50"/>
      <c r="D62" s="49"/>
      <c r="E62" s="49"/>
      <c r="F62" s="49"/>
      <c r="G62" s="49"/>
      <c r="H62" s="49"/>
      <c r="I62" s="49"/>
      <c r="J62" s="49"/>
      <c r="K62" s="49"/>
      <c r="L62" s="49"/>
      <c r="M62" s="49"/>
    </row>
    <row r="63" spans="1:14" ht="18.75" customHeight="1" x14ac:dyDescent="0.25">
      <c r="A63" s="49"/>
      <c r="B63" s="641"/>
      <c r="C63" s="50"/>
      <c r="D63" s="49"/>
      <c r="E63" s="49"/>
      <c r="F63" s="49"/>
      <c r="G63" s="49"/>
      <c r="H63" s="49"/>
      <c r="I63" s="49"/>
      <c r="J63" s="49"/>
      <c r="K63" s="49"/>
      <c r="L63" s="49"/>
      <c r="M63" s="49"/>
    </row>
    <row r="64" spans="1:14" x14ac:dyDescent="0.25">
      <c r="A64" s="49"/>
      <c r="B64" s="642" t="s">
        <v>1107</v>
      </c>
      <c r="C64" s="50"/>
      <c r="D64" s="49"/>
      <c r="E64" s="49"/>
      <c r="F64" s="49"/>
      <c r="G64" s="49"/>
      <c r="H64" s="49"/>
      <c r="I64" s="49"/>
      <c r="J64" s="49"/>
      <c r="K64" s="49"/>
      <c r="L64" s="49"/>
      <c r="M64" s="49"/>
    </row>
    <row r="65" spans="1:14" ht="13.5" customHeight="1" x14ac:dyDescent="0.25">
      <c r="A65" s="49"/>
      <c r="B65" s="642"/>
      <c r="C65" s="50"/>
      <c r="D65" s="49"/>
      <c r="E65" s="49"/>
      <c r="F65" s="49"/>
      <c r="G65" s="49"/>
      <c r="H65" s="49"/>
      <c r="I65" s="49"/>
      <c r="J65" s="49"/>
      <c r="K65" s="49"/>
      <c r="L65" s="49"/>
      <c r="M65" s="49"/>
    </row>
    <row r="66" spans="1:14" ht="15" customHeight="1" x14ac:dyDescent="0.25">
      <c r="A66" s="49"/>
      <c r="B66" s="2187" t="s">
        <v>189</v>
      </c>
      <c r="C66" s="2187"/>
      <c r="D66" s="2187"/>
      <c r="E66" s="2187"/>
      <c r="F66" s="2187"/>
      <c r="G66" s="2187"/>
      <c r="H66" s="2187"/>
      <c r="I66" s="49"/>
      <c r="J66" s="49"/>
      <c r="K66" s="49"/>
      <c r="L66" s="49"/>
      <c r="M66" s="49"/>
    </row>
    <row r="67" spans="1:14" ht="18" customHeight="1" x14ac:dyDescent="0.25">
      <c r="A67" s="49"/>
      <c r="B67" s="2167" t="s">
        <v>1198</v>
      </c>
      <c r="C67" s="2168"/>
      <c r="D67" s="2168"/>
      <c r="E67" s="2168"/>
      <c r="F67" s="471" t="s">
        <v>124</v>
      </c>
      <c r="G67" s="49"/>
      <c r="H67" s="49"/>
      <c r="I67" s="49"/>
      <c r="J67" s="49"/>
      <c r="K67" s="49"/>
      <c r="L67" s="49"/>
      <c r="M67" s="49"/>
    </row>
    <row r="68" spans="1:14" ht="18" customHeight="1" x14ac:dyDescent="0.25">
      <c r="A68" s="49"/>
      <c r="B68" s="2167" t="s">
        <v>1199</v>
      </c>
      <c r="C68" s="2168"/>
      <c r="D68" s="2168"/>
      <c r="E68" s="2168"/>
      <c r="F68" s="471" t="s">
        <v>124</v>
      </c>
      <c r="G68" s="49"/>
      <c r="H68" s="49"/>
      <c r="I68" s="49"/>
      <c r="J68" s="49"/>
      <c r="K68" s="49"/>
      <c r="L68" s="49"/>
      <c r="M68" s="49"/>
    </row>
    <row r="69" spans="1:14" x14ac:dyDescent="0.25">
      <c r="A69" s="49"/>
      <c r="B69" s="50"/>
      <c r="C69" s="50"/>
      <c r="D69" s="50"/>
      <c r="E69" s="50"/>
      <c r="F69" s="49"/>
      <c r="G69" s="49"/>
      <c r="H69" s="49"/>
      <c r="I69" s="49"/>
      <c r="J69" s="49"/>
      <c r="K69" s="49"/>
      <c r="L69" s="49"/>
      <c r="M69" s="49"/>
    </row>
    <row r="70" spans="1:14" ht="18" customHeight="1" x14ac:dyDescent="0.25">
      <c r="A70" s="49"/>
      <c r="B70" s="2169" t="s">
        <v>1200</v>
      </c>
      <c r="C70" s="2169"/>
      <c r="D70" s="659" t="str">
        <f>IF(COUNTIF(F67:F68,"Yes")&lt;1,"No","Yes")</f>
        <v>No</v>
      </c>
      <c r="E70" s="50"/>
      <c r="F70" s="49"/>
      <c r="G70" s="49"/>
      <c r="H70" s="49"/>
      <c r="I70" s="49"/>
      <c r="J70" s="49"/>
      <c r="K70" s="49"/>
      <c r="L70" s="49"/>
      <c r="M70" s="49"/>
    </row>
    <row r="71" spans="1:14" x14ac:dyDescent="0.25">
      <c r="A71" s="49"/>
      <c r="B71" s="50"/>
      <c r="C71" s="50"/>
      <c r="D71" s="50"/>
      <c r="E71" s="50"/>
      <c r="F71" s="49"/>
      <c r="G71" s="49"/>
      <c r="H71" s="49"/>
      <c r="I71" s="49"/>
      <c r="J71" s="49"/>
      <c r="K71" s="49"/>
      <c r="L71" s="49"/>
      <c r="M71" s="49"/>
    </row>
    <row r="72" spans="1:14" ht="16.5" customHeight="1" x14ac:dyDescent="0.25">
      <c r="A72" s="2166" t="s">
        <v>186</v>
      </c>
      <c r="B72" s="2166"/>
      <c r="C72" s="2166"/>
      <c r="D72" s="50"/>
      <c r="E72" s="50"/>
      <c r="F72" s="50"/>
      <c r="G72" s="50"/>
      <c r="H72" s="50"/>
      <c r="I72" s="50"/>
      <c r="J72" s="50"/>
      <c r="K72" s="50"/>
      <c r="L72" s="50"/>
      <c r="M72" s="50"/>
      <c r="N72" s="50"/>
    </row>
    <row r="73" spans="1:14" x14ac:dyDescent="0.25">
      <c r="A73" s="49"/>
      <c r="B73" s="50"/>
      <c r="C73" s="50"/>
      <c r="D73" s="50"/>
      <c r="E73" s="49"/>
      <c r="F73" s="49"/>
      <c r="G73" s="49"/>
      <c r="H73" s="49"/>
      <c r="I73" s="49"/>
      <c r="J73" s="49"/>
      <c r="K73" s="49"/>
      <c r="L73" s="49"/>
      <c r="M73" s="49"/>
      <c r="N73" s="49"/>
    </row>
    <row r="74" spans="1:14" ht="21" customHeight="1" x14ac:dyDescent="0.25">
      <c r="A74" s="49"/>
      <c r="B74" s="2183" t="s">
        <v>1739</v>
      </c>
      <c r="C74" s="2184"/>
      <c r="D74" s="2184"/>
      <c r="E74" s="2184"/>
      <c r="F74" s="2184"/>
      <c r="G74" s="1100" t="s">
        <v>1737</v>
      </c>
      <c r="H74" s="2185" t="s">
        <v>1738</v>
      </c>
      <c r="I74" s="2186"/>
      <c r="J74" s="49"/>
      <c r="K74" s="49"/>
      <c r="L74" s="49"/>
      <c r="M74" s="49"/>
      <c r="N74" s="49"/>
    </row>
    <row r="75" spans="1:14" ht="24" customHeight="1" x14ac:dyDescent="0.25">
      <c r="A75" s="49"/>
      <c r="B75" s="2079" t="s">
        <v>1136</v>
      </c>
      <c r="C75" s="2080"/>
      <c r="D75" s="2080"/>
      <c r="E75" s="2080"/>
      <c r="F75" s="2156"/>
      <c r="G75" s="1164" t="s">
        <v>124</v>
      </c>
      <c r="H75" s="1931"/>
      <c r="I75" s="1932"/>
      <c r="J75" s="49"/>
      <c r="K75" s="49"/>
      <c r="L75" s="49"/>
      <c r="M75" s="49"/>
      <c r="N75" s="49"/>
    </row>
    <row r="76" spans="1:14" x14ac:dyDescent="0.25">
      <c r="A76" s="49"/>
      <c r="B76" s="50"/>
      <c r="C76" s="50"/>
      <c r="D76" s="50"/>
      <c r="E76" s="50"/>
      <c r="F76" s="49"/>
      <c r="G76" s="49"/>
      <c r="H76" s="49"/>
      <c r="I76" s="49"/>
      <c r="J76" s="49"/>
      <c r="K76" s="49"/>
      <c r="L76" s="49"/>
      <c r="M76" s="49"/>
    </row>
    <row r="77" spans="1:14" ht="16.5" customHeight="1" x14ac:dyDescent="0.25">
      <c r="A77" s="2166" t="s">
        <v>22</v>
      </c>
      <c r="B77" s="2166"/>
      <c r="C77" s="2166"/>
      <c r="D77" s="50"/>
      <c r="E77" s="50"/>
      <c r="F77" s="49"/>
      <c r="G77" s="49"/>
      <c r="H77" s="49"/>
      <c r="I77" s="49"/>
      <c r="J77" s="49"/>
      <c r="K77" s="49"/>
      <c r="L77" s="49"/>
      <c r="M77" s="49"/>
    </row>
    <row r="78" spans="1:14" x14ac:dyDescent="0.25">
      <c r="A78" s="49"/>
      <c r="B78" s="50"/>
      <c r="C78" s="50"/>
      <c r="D78" s="50"/>
      <c r="E78" s="50"/>
      <c r="F78" s="49"/>
      <c r="G78" s="49"/>
      <c r="H78" s="49"/>
      <c r="I78" s="49"/>
      <c r="J78" s="49"/>
      <c r="K78" s="49"/>
      <c r="L78" s="49"/>
      <c r="M78" s="49"/>
    </row>
    <row r="79" spans="1:14" ht="18" customHeight="1" x14ac:dyDescent="0.25">
      <c r="A79" s="49"/>
      <c r="B79" s="241" t="s">
        <v>53</v>
      </c>
      <c r="C79" s="1335">
        <f>IF(D70="Yes",1,0)</f>
        <v>0</v>
      </c>
      <c r="D79" s="50"/>
      <c r="E79" s="50"/>
      <c r="F79" s="49"/>
      <c r="G79" s="49"/>
      <c r="H79" s="49"/>
      <c r="I79" s="49"/>
      <c r="J79" s="49"/>
      <c r="K79" s="49"/>
      <c r="L79" s="49"/>
      <c r="M79" s="49"/>
    </row>
    <row r="80" spans="1:14" ht="18" customHeight="1" x14ac:dyDescent="0.25">
      <c r="A80" s="49"/>
      <c r="B80" s="245" t="s">
        <v>492</v>
      </c>
      <c r="C80" s="1335" t="str">
        <f>IF(AND(G75="Submitted",C79&gt;0),"Yes","No")</f>
        <v>No</v>
      </c>
      <c r="D80" s="49"/>
      <c r="E80" s="49"/>
      <c r="F80" s="49"/>
      <c r="G80" s="49"/>
      <c r="H80" s="49"/>
      <c r="I80" s="49"/>
      <c r="J80" s="49"/>
      <c r="K80" s="49"/>
      <c r="L80" s="49"/>
      <c r="M80" s="49"/>
    </row>
    <row r="81" spans="1:14" ht="19.5" customHeight="1" x14ac:dyDescent="0.25">
      <c r="A81" s="49"/>
      <c r="B81" s="50"/>
      <c r="C81" s="50"/>
      <c r="D81" s="50"/>
      <c r="E81" s="50"/>
      <c r="F81" s="49"/>
      <c r="G81" s="49"/>
      <c r="H81" s="49"/>
      <c r="I81" s="49"/>
      <c r="J81" s="49"/>
      <c r="K81" s="49"/>
      <c r="L81" s="49"/>
      <c r="M81" s="49"/>
    </row>
    <row r="82" spans="1:14" ht="18.75" customHeight="1" x14ac:dyDescent="0.25">
      <c r="A82" s="2180" t="s">
        <v>278</v>
      </c>
      <c r="B82" s="2180"/>
      <c r="C82" s="2180"/>
      <c r="D82" s="2180"/>
      <c r="E82" s="2180"/>
      <c r="F82" s="2180"/>
      <c r="G82" s="2180"/>
      <c r="H82" s="2180"/>
      <c r="I82" s="2180"/>
      <c r="J82" s="2180"/>
      <c r="K82" s="2180"/>
      <c r="L82" s="2180"/>
      <c r="M82" s="2180"/>
    </row>
    <row r="83" spans="1:14" x14ac:dyDescent="0.25">
      <c r="A83" s="49"/>
      <c r="B83" s="50"/>
      <c r="C83" s="50"/>
      <c r="D83" s="50"/>
      <c r="E83" s="50"/>
      <c r="F83" s="49"/>
      <c r="G83" s="49"/>
      <c r="H83" s="49"/>
      <c r="I83" s="49"/>
      <c r="J83" s="49"/>
      <c r="K83" s="49"/>
      <c r="L83" s="49"/>
      <c r="M83" s="49"/>
    </row>
    <row r="84" spans="1:14" ht="16.5" customHeight="1" x14ac:dyDescent="0.25">
      <c r="A84" s="2166" t="s">
        <v>245</v>
      </c>
      <c r="B84" s="2166"/>
      <c r="C84" s="2166"/>
      <c r="D84" s="49"/>
      <c r="E84" s="49"/>
      <c r="F84" s="49"/>
      <c r="G84" s="49"/>
      <c r="H84" s="49"/>
      <c r="I84" s="49"/>
      <c r="J84" s="49"/>
      <c r="K84" s="49"/>
      <c r="L84" s="49"/>
      <c r="M84" s="49"/>
    </row>
    <row r="85" spans="1:14" x14ac:dyDescent="0.25">
      <c r="A85" s="49"/>
      <c r="B85" s="50"/>
      <c r="C85" s="50"/>
      <c r="D85" s="49"/>
      <c r="E85" s="49"/>
      <c r="F85" s="49"/>
      <c r="G85" s="49"/>
      <c r="H85" s="49"/>
      <c r="I85" s="49"/>
      <c r="J85" s="49"/>
      <c r="K85" s="49"/>
      <c r="L85" s="49"/>
      <c r="M85" s="49"/>
    </row>
    <row r="86" spans="1:14" x14ac:dyDescent="0.25">
      <c r="A86" s="49"/>
      <c r="B86" s="641" t="s">
        <v>1139</v>
      </c>
      <c r="C86" s="50"/>
      <c r="D86" s="49"/>
      <c r="E86" s="49"/>
      <c r="F86" s="49"/>
      <c r="G86" s="49"/>
      <c r="H86" s="49"/>
      <c r="I86" s="49"/>
      <c r="J86" s="49"/>
      <c r="K86" s="49"/>
      <c r="L86" s="49"/>
      <c r="M86" s="49"/>
    </row>
    <row r="87" spans="1:14" x14ac:dyDescent="0.25">
      <c r="A87" s="49"/>
      <c r="B87" s="641"/>
      <c r="C87" s="50"/>
      <c r="D87" s="49"/>
      <c r="E87" s="49"/>
      <c r="F87" s="49"/>
      <c r="G87" s="49"/>
      <c r="H87" s="49"/>
      <c r="I87" s="49"/>
      <c r="J87" s="49"/>
      <c r="K87" s="49"/>
      <c r="L87" s="49"/>
      <c r="M87" s="49"/>
    </row>
    <row r="88" spans="1:14" x14ac:dyDescent="0.25">
      <c r="A88" s="49"/>
      <c r="B88" s="566" t="s">
        <v>280</v>
      </c>
      <c r="C88" s="50"/>
      <c r="D88" s="50"/>
      <c r="E88" s="50"/>
      <c r="F88" s="49"/>
      <c r="G88" s="49"/>
      <c r="H88" s="49"/>
      <c r="I88" s="49"/>
      <c r="J88" s="49"/>
      <c r="K88" s="49"/>
      <c r="L88" s="49"/>
      <c r="M88" s="49"/>
    </row>
    <row r="89" spans="1:14" x14ac:dyDescent="0.25">
      <c r="A89" s="49"/>
      <c r="B89" s="645" t="s">
        <v>1201</v>
      </c>
      <c r="C89" s="49"/>
      <c r="D89" s="49"/>
      <c r="E89" s="49"/>
      <c r="F89" s="49"/>
      <c r="G89" s="49"/>
      <c r="H89" s="49"/>
      <c r="I89" s="49"/>
      <c r="J89" s="49"/>
      <c r="K89" s="49"/>
      <c r="L89" s="49"/>
      <c r="M89" s="49"/>
    </row>
    <row r="90" spans="1:14" ht="15" customHeight="1" x14ac:dyDescent="0.25">
      <c r="A90" s="49"/>
      <c r="B90" s="49"/>
      <c r="C90" s="49"/>
      <c r="D90" s="49"/>
      <c r="E90" s="49"/>
      <c r="F90" s="49"/>
      <c r="G90" s="49"/>
      <c r="H90" s="49"/>
      <c r="I90" s="49"/>
      <c r="J90" s="49"/>
      <c r="K90" s="49"/>
      <c r="L90" s="49"/>
      <c r="M90" s="49"/>
    </row>
    <row r="91" spans="1:14" ht="27" customHeight="1" x14ac:dyDescent="0.25">
      <c r="A91" s="49"/>
      <c r="B91" s="418" t="s">
        <v>279</v>
      </c>
      <c r="C91" s="419" t="s">
        <v>746</v>
      </c>
      <c r="D91" s="49"/>
      <c r="E91" s="49"/>
      <c r="F91" s="49"/>
      <c r="G91" s="49"/>
      <c r="H91" s="49"/>
      <c r="I91" s="49"/>
      <c r="J91" s="49"/>
      <c r="K91" s="49"/>
      <c r="L91" s="49"/>
      <c r="M91" s="49"/>
    </row>
    <row r="92" spans="1:14" ht="18" customHeight="1" x14ac:dyDescent="0.25">
      <c r="A92" s="49"/>
      <c r="B92" s="184" t="s">
        <v>124</v>
      </c>
      <c r="C92" s="184"/>
      <c r="D92" s="477"/>
      <c r="E92" s="49"/>
      <c r="F92" s="49"/>
      <c r="G92" s="49"/>
      <c r="H92" s="49"/>
      <c r="I92" s="49"/>
      <c r="J92" s="49"/>
      <c r="K92" s="49"/>
      <c r="L92" s="49"/>
      <c r="M92" s="49"/>
    </row>
    <row r="93" spans="1:14" x14ac:dyDescent="0.25">
      <c r="A93" s="49"/>
      <c r="B93" s="50"/>
      <c r="C93" s="50"/>
      <c r="D93" s="50"/>
      <c r="E93" s="50"/>
      <c r="F93" s="49"/>
      <c r="G93" s="49"/>
      <c r="H93" s="49"/>
      <c r="I93" s="49"/>
      <c r="J93" s="49"/>
      <c r="K93" s="49"/>
      <c r="L93" s="49"/>
      <c r="M93" s="49"/>
    </row>
    <row r="94" spans="1:14" ht="16.5" customHeight="1" x14ac:dyDescent="0.25">
      <c r="A94" s="2166" t="s">
        <v>186</v>
      </c>
      <c r="B94" s="2166"/>
      <c r="C94" s="2166"/>
      <c r="D94" s="50"/>
      <c r="E94" s="50"/>
      <c r="F94" s="50"/>
      <c r="G94" s="50"/>
      <c r="H94" s="50"/>
      <c r="I94" s="50"/>
      <c r="J94" s="50"/>
      <c r="K94" s="50"/>
      <c r="L94" s="50"/>
      <c r="M94" s="50"/>
      <c r="N94" s="50"/>
    </row>
    <row r="95" spans="1:14" x14ac:dyDescent="0.25">
      <c r="A95" s="49"/>
      <c r="B95" s="50"/>
      <c r="C95" s="50"/>
      <c r="D95" s="50"/>
      <c r="E95" s="49"/>
      <c r="F95" s="49"/>
      <c r="G95" s="49"/>
      <c r="H95" s="49"/>
      <c r="I95" s="49"/>
      <c r="J95" s="49"/>
      <c r="K95" s="49"/>
      <c r="L95" s="49"/>
      <c r="M95" s="49"/>
      <c r="N95" s="49"/>
    </row>
    <row r="96" spans="1:14" ht="21" customHeight="1" x14ac:dyDescent="0.25">
      <c r="A96" s="49"/>
      <c r="B96" s="2183" t="s">
        <v>1739</v>
      </c>
      <c r="C96" s="2184"/>
      <c r="D96" s="2184"/>
      <c r="E96" s="2184"/>
      <c r="F96" s="2184"/>
      <c r="G96" s="1100" t="s">
        <v>1737</v>
      </c>
      <c r="H96" s="2185" t="s">
        <v>1738</v>
      </c>
      <c r="I96" s="2186"/>
      <c r="J96" s="49"/>
      <c r="K96" s="49"/>
      <c r="L96" s="49"/>
      <c r="M96" s="49"/>
      <c r="N96" s="49"/>
    </row>
    <row r="97" spans="1:15" ht="24" customHeight="1" x14ac:dyDescent="0.25">
      <c r="A97" s="49"/>
      <c r="B97" s="2079" t="s">
        <v>1135</v>
      </c>
      <c r="C97" s="2080"/>
      <c r="D97" s="2080"/>
      <c r="E97" s="2080"/>
      <c r="F97" s="2156"/>
      <c r="G97" s="471" t="s">
        <v>124</v>
      </c>
      <c r="H97" s="1931"/>
      <c r="I97" s="1932"/>
      <c r="J97" s="49"/>
      <c r="K97" s="49"/>
      <c r="L97" s="49"/>
      <c r="M97" s="49"/>
      <c r="N97" s="49"/>
    </row>
    <row r="98" spans="1:15" x14ac:dyDescent="0.25">
      <c r="A98" s="49"/>
      <c r="B98" s="50"/>
      <c r="C98" s="50"/>
      <c r="D98" s="50"/>
      <c r="E98" s="50"/>
      <c r="F98" s="49"/>
      <c r="G98" s="49"/>
      <c r="H98" s="49"/>
      <c r="I98" s="49"/>
      <c r="J98" s="49"/>
      <c r="K98" s="49"/>
      <c r="L98" s="49"/>
      <c r="M98" s="49"/>
    </row>
    <row r="99" spans="1:15" ht="16.5" customHeight="1" x14ac:dyDescent="0.25">
      <c r="A99" s="2166" t="s">
        <v>22</v>
      </c>
      <c r="B99" s="2166"/>
      <c r="C99" s="2166"/>
      <c r="D99" s="50"/>
      <c r="E99" s="50"/>
      <c r="F99" s="49"/>
      <c r="G99" s="49"/>
      <c r="H99" s="49"/>
      <c r="I99" s="49"/>
      <c r="J99" s="49"/>
      <c r="K99" s="49"/>
      <c r="L99" s="49"/>
      <c r="M99" s="49"/>
    </row>
    <row r="100" spans="1:15" x14ac:dyDescent="0.25">
      <c r="A100" s="49"/>
      <c r="B100" s="50"/>
      <c r="C100" s="50"/>
      <c r="D100" s="50"/>
      <c r="E100" s="50"/>
      <c r="F100" s="49"/>
      <c r="G100" s="49"/>
      <c r="H100" s="49"/>
      <c r="I100" s="49"/>
      <c r="J100" s="49"/>
      <c r="K100" s="49"/>
      <c r="L100" s="49"/>
      <c r="M100" s="49"/>
    </row>
    <row r="101" spans="1:15" ht="18" customHeight="1" x14ac:dyDescent="0.25">
      <c r="A101" s="49"/>
      <c r="B101" s="241" t="s">
        <v>53</v>
      </c>
      <c r="C101" s="1335" t="str">
        <f>IF(AND(B92&lt;&gt;"Select",B92&lt;&gt;"",C92&lt;&gt;""),IF(C92&lt;=400,2,IF(C92&lt;=800,1,0)),"0")</f>
        <v>0</v>
      </c>
      <c r="D101" s="50"/>
      <c r="E101" s="50"/>
      <c r="F101" s="49"/>
      <c r="G101" s="49"/>
      <c r="H101" s="49"/>
      <c r="I101" s="49"/>
      <c r="J101" s="49"/>
      <c r="K101" s="49"/>
      <c r="L101" s="49"/>
      <c r="M101" s="49"/>
      <c r="O101" s="38" t="s">
        <v>124</v>
      </c>
    </row>
    <row r="102" spans="1:15" ht="18" customHeight="1" x14ac:dyDescent="0.25">
      <c r="A102" s="49"/>
      <c r="B102" s="245" t="s">
        <v>492</v>
      </c>
      <c r="C102" s="1335" t="str">
        <f>IF(AND(G97="Submitted",C101&gt;0),"Yes","No")</f>
        <v>No</v>
      </c>
      <c r="D102" s="50"/>
      <c r="E102" s="50"/>
      <c r="F102" s="49"/>
      <c r="G102" s="49"/>
      <c r="H102" s="49"/>
      <c r="I102" s="49"/>
      <c r="J102" s="49"/>
      <c r="K102" s="49"/>
      <c r="L102" s="49"/>
      <c r="M102" s="49"/>
      <c r="O102" s="38" t="s">
        <v>283</v>
      </c>
    </row>
    <row r="103" spans="1:15" ht="18" customHeight="1" x14ac:dyDescent="0.25">
      <c r="A103" s="49"/>
      <c r="B103" s="50"/>
      <c r="C103" s="50"/>
      <c r="D103" s="50"/>
      <c r="E103" s="50"/>
      <c r="F103" s="49"/>
      <c r="G103" s="49"/>
      <c r="H103" s="49"/>
      <c r="I103" s="49"/>
      <c r="J103" s="49"/>
      <c r="K103" s="49"/>
      <c r="L103" s="49"/>
      <c r="M103" s="49"/>
      <c r="O103" s="38" t="s">
        <v>1625</v>
      </c>
    </row>
    <row r="104" spans="1:15" ht="18.75" customHeight="1" x14ac:dyDescent="0.25">
      <c r="A104" s="2180" t="s">
        <v>281</v>
      </c>
      <c r="B104" s="2180"/>
      <c r="C104" s="2180"/>
      <c r="D104" s="2180"/>
      <c r="E104" s="2180"/>
      <c r="F104" s="2180"/>
      <c r="G104" s="2180"/>
      <c r="H104" s="2180"/>
      <c r="I104" s="2180"/>
      <c r="J104" s="2180"/>
      <c r="K104" s="2180"/>
      <c r="L104" s="2180"/>
      <c r="M104" s="2180"/>
      <c r="O104" s="38" t="s">
        <v>1626</v>
      </c>
    </row>
    <row r="105" spans="1:15" x14ac:dyDescent="0.25">
      <c r="A105" s="49"/>
      <c r="B105" s="49"/>
      <c r="C105" s="50"/>
      <c r="D105" s="50"/>
      <c r="E105" s="50"/>
      <c r="F105" s="49"/>
      <c r="G105" s="49"/>
      <c r="H105" s="49"/>
      <c r="I105" s="49"/>
      <c r="J105" s="49"/>
      <c r="K105" s="49"/>
      <c r="L105" s="49"/>
      <c r="M105" s="49"/>
      <c r="O105" s="38" t="s">
        <v>1627</v>
      </c>
    </row>
    <row r="106" spans="1:15" ht="16.5" customHeight="1" x14ac:dyDescent="0.25">
      <c r="A106" s="2166" t="s">
        <v>245</v>
      </c>
      <c r="B106" s="2166"/>
      <c r="C106" s="2166"/>
      <c r="D106" s="49"/>
      <c r="E106" s="49"/>
      <c r="F106" s="49"/>
      <c r="G106" s="49"/>
      <c r="H106" s="49"/>
      <c r="I106" s="49"/>
      <c r="J106" s="49"/>
      <c r="K106" s="49"/>
      <c r="L106" s="49"/>
      <c r="M106" s="49"/>
      <c r="O106" s="38" t="s">
        <v>1648</v>
      </c>
    </row>
    <row r="107" spans="1:15" x14ac:dyDescent="0.25">
      <c r="A107" s="49"/>
      <c r="B107" s="50"/>
      <c r="C107" s="50"/>
      <c r="D107" s="49"/>
      <c r="E107" s="49"/>
      <c r="F107" s="49"/>
      <c r="G107" s="49"/>
      <c r="H107" s="49"/>
      <c r="I107" s="49"/>
      <c r="J107" s="49"/>
      <c r="K107" s="49"/>
      <c r="L107" s="49"/>
      <c r="M107" s="49"/>
      <c r="O107" s="38" t="s">
        <v>1647</v>
      </c>
    </row>
    <row r="108" spans="1:15" x14ac:dyDescent="0.25">
      <c r="A108" s="49"/>
      <c r="B108" s="641" t="s">
        <v>1138</v>
      </c>
      <c r="C108" s="50"/>
      <c r="D108" s="49"/>
      <c r="E108" s="49"/>
      <c r="F108" s="49"/>
      <c r="G108" s="49"/>
      <c r="H108" s="49"/>
      <c r="I108" s="49"/>
      <c r="J108" s="49"/>
      <c r="K108" s="49"/>
      <c r="L108" s="49"/>
      <c r="M108" s="49"/>
      <c r="O108" s="38" t="s">
        <v>1629</v>
      </c>
    </row>
    <row r="109" spans="1:15" x14ac:dyDescent="0.25">
      <c r="A109" s="49"/>
      <c r="B109" s="641"/>
      <c r="C109" s="50"/>
      <c r="D109" s="49"/>
      <c r="E109" s="49"/>
      <c r="F109" s="49"/>
      <c r="G109" s="49"/>
      <c r="H109" s="49"/>
      <c r="I109" s="49"/>
      <c r="J109" s="49"/>
      <c r="K109" s="49"/>
      <c r="L109" s="49"/>
      <c r="M109" s="49"/>
      <c r="O109" s="38" t="s">
        <v>1630</v>
      </c>
    </row>
    <row r="110" spans="1:15" x14ac:dyDescent="0.25">
      <c r="A110" s="49"/>
      <c r="B110" s="645" t="s">
        <v>1193</v>
      </c>
      <c r="C110" s="50"/>
      <c r="D110" s="50"/>
      <c r="E110" s="50"/>
      <c r="F110" s="49"/>
      <c r="G110" s="49"/>
      <c r="H110" s="49"/>
      <c r="I110" s="49"/>
      <c r="J110" s="49"/>
      <c r="K110" s="49"/>
      <c r="L110" s="49"/>
      <c r="M110" s="49"/>
      <c r="O110" s="38" t="s">
        <v>1631</v>
      </c>
    </row>
    <row r="111" spans="1:15" ht="13.5" customHeight="1" x14ac:dyDescent="0.25">
      <c r="A111" s="49"/>
      <c r="B111" s="49"/>
      <c r="C111" s="50"/>
      <c r="D111" s="50"/>
      <c r="E111" s="50"/>
      <c r="F111" s="49"/>
      <c r="G111" s="49"/>
      <c r="H111" s="49"/>
      <c r="I111" s="49"/>
      <c r="J111" s="49"/>
      <c r="K111" s="49"/>
      <c r="L111" s="49"/>
      <c r="M111" s="49"/>
      <c r="O111" s="38" t="s">
        <v>1632</v>
      </c>
    </row>
    <row r="112" spans="1:15" ht="11.25" customHeight="1" x14ac:dyDescent="0.25">
      <c r="A112" s="49"/>
      <c r="B112" s="49"/>
      <c r="C112" s="50"/>
      <c r="D112" s="50"/>
      <c r="E112" s="50"/>
      <c r="F112" s="49"/>
      <c r="G112" s="49"/>
      <c r="H112" s="49"/>
      <c r="I112" s="49"/>
      <c r="J112" s="49"/>
      <c r="K112" s="49"/>
      <c r="L112" s="49"/>
      <c r="M112" s="49"/>
      <c r="O112" s="38" t="s">
        <v>1633</v>
      </c>
    </row>
    <row r="113" spans="1:15" x14ac:dyDescent="0.25">
      <c r="A113" s="49"/>
      <c r="B113" s="642" t="s">
        <v>1646</v>
      </c>
      <c r="C113" s="50"/>
      <c r="D113" s="50"/>
      <c r="E113" s="50"/>
      <c r="F113" s="49"/>
      <c r="G113" s="49"/>
      <c r="H113" s="49"/>
      <c r="I113" s="49"/>
      <c r="J113" s="49"/>
      <c r="K113" s="49"/>
      <c r="L113" s="49"/>
      <c r="M113" s="49"/>
      <c r="O113" s="38" t="s">
        <v>1634</v>
      </c>
    </row>
    <row r="114" spans="1:15" ht="9" customHeight="1" x14ac:dyDescent="0.25">
      <c r="A114" s="49"/>
      <c r="B114" s="49"/>
      <c r="C114" s="50"/>
      <c r="D114" s="50"/>
      <c r="E114" s="50"/>
      <c r="F114" s="49"/>
      <c r="G114" s="49"/>
      <c r="H114" s="49"/>
      <c r="I114" s="49"/>
      <c r="J114" s="49"/>
      <c r="K114" s="49"/>
      <c r="L114" s="49"/>
      <c r="M114" s="49"/>
      <c r="O114" s="38" t="s">
        <v>1635</v>
      </c>
    </row>
    <row r="115" spans="1:15" ht="27.75" customHeight="1" x14ac:dyDescent="0.25">
      <c r="A115" s="49"/>
      <c r="B115" s="2188" t="s">
        <v>747</v>
      </c>
      <c r="C115" s="2189"/>
      <c r="D115" s="421" t="s">
        <v>284</v>
      </c>
      <c r="E115" s="422" t="s">
        <v>282</v>
      </c>
      <c r="F115" s="49"/>
      <c r="G115" s="49"/>
      <c r="H115" s="49"/>
      <c r="I115" s="49"/>
      <c r="J115" s="49"/>
      <c r="K115" s="49"/>
      <c r="L115" s="49"/>
      <c r="M115" s="49"/>
      <c r="O115" s="38" t="s">
        <v>1636</v>
      </c>
    </row>
    <row r="116" spans="1:15" ht="15" customHeight="1" x14ac:dyDescent="0.25">
      <c r="A116" s="49"/>
      <c r="B116" s="2001" t="s">
        <v>124</v>
      </c>
      <c r="C116" s="2190"/>
      <c r="D116" s="420"/>
      <c r="E116" s="420"/>
      <c r="F116" s="49"/>
      <c r="G116" s="49"/>
      <c r="H116" s="49"/>
      <c r="I116" s="49"/>
      <c r="J116" s="49"/>
      <c r="K116" s="49"/>
      <c r="L116" s="49"/>
      <c r="M116" s="49"/>
      <c r="N116" s="38" t="str">
        <f>IF(AND(D116&lt;&gt;"",B116&lt;&gt;"Select",B116&lt;&gt;"",E116&lt;&gt;"",E116&lt;=500),"Yes","No")</f>
        <v>No</v>
      </c>
      <c r="O116" s="38" t="s">
        <v>1637</v>
      </c>
    </row>
    <row r="117" spans="1:15" x14ac:dyDescent="0.25">
      <c r="A117" s="49"/>
      <c r="B117" s="2001" t="s">
        <v>124</v>
      </c>
      <c r="C117" s="2190"/>
      <c r="D117" s="184"/>
      <c r="E117" s="420"/>
      <c r="F117" s="907" t="str">
        <f>IF(AND(B117&lt;&gt;"Select",B117=B116),"Please select another type of basic service","")</f>
        <v/>
      </c>
      <c r="G117" s="49"/>
      <c r="H117" s="49"/>
      <c r="I117" s="49"/>
      <c r="J117" s="49"/>
      <c r="K117" s="49"/>
      <c r="L117" s="49"/>
      <c r="M117" s="49"/>
      <c r="N117" s="38" t="str">
        <f>IF(B117=B116,"No",IF(AND(D117&lt;&gt;"",B117&lt;&gt;"Select",B117&lt;&gt;"",E117&lt;&gt;"",E117&lt;=500),"Yes","No"))</f>
        <v>No</v>
      </c>
      <c r="O117" s="38" t="s">
        <v>1638</v>
      </c>
    </row>
    <row r="118" spans="1:15" x14ac:dyDescent="0.25">
      <c r="A118" s="49"/>
      <c r="B118" s="2001" t="s">
        <v>124</v>
      </c>
      <c r="C118" s="2190"/>
      <c r="D118" s="184"/>
      <c r="E118" s="420"/>
      <c r="F118" s="907" t="str">
        <f>IF(AND(B118&lt;&gt;"Select",OR(B118=B116,B118=B117)),"Please select another type of basic service","")</f>
        <v/>
      </c>
      <c r="G118" s="49"/>
      <c r="H118" s="49"/>
      <c r="I118" s="49"/>
      <c r="J118" s="49"/>
      <c r="K118" s="49"/>
      <c r="L118" s="49"/>
      <c r="M118" s="49"/>
      <c r="N118" s="38" t="str">
        <f>IF(AND(B118&lt;&gt;"Select",OR(B118=B116,B118=B117)),"No",IF(AND(D118&lt;&gt;"",B118&lt;&gt;"Select",B118&lt;&gt;"",E118&lt;&gt;"",E118&lt;=500),"Yes","No"))</f>
        <v>No</v>
      </c>
      <c r="O118" s="38" t="s">
        <v>1639</v>
      </c>
    </row>
    <row r="119" spans="1:15" x14ac:dyDescent="0.25">
      <c r="A119" s="49"/>
      <c r="B119" s="2001" t="s">
        <v>124</v>
      </c>
      <c r="C119" s="2190"/>
      <c r="D119" s="184"/>
      <c r="E119" s="420"/>
      <c r="F119" s="907" t="str">
        <f>IF(AND(B119&lt;&gt;"Select",OR(B119=B117,B119=B118,B119=B116)),"Please select another type of basic service","")</f>
        <v/>
      </c>
      <c r="G119" s="49"/>
      <c r="H119" s="49"/>
      <c r="I119" s="49"/>
      <c r="J119" s="49"/>
      <c r="K119" s="49"/>
      <c r="L119" s="49"/>
      <c r="M119" s="49"/>
      <c r="N119" s="38" t="str">
        <f>IF(AND(B119&lt;&gt;"Select",OR(B119=B117,B119=B118,B119=B116)),"No",IF(AND(D119&lt;&gt;"",B119&lt;&gt;"Select",B119&lt;&gt;"",E119&lt;&gt;"",E119&lt;=500),"Yes","No"))</f>
        <v>No</v>
      </c>
      <c r="O119" s="38" t="s">
        <v>1640</v>
      </c>
    </row>
    <row r="120" spans="1:15" x14ac:dyDescent="0.25">
      <c r="A120" s="49"/>
      <c r="B120" s="2001" t="s">
        <v>124</v>
      </c>
      <c r="C120" s="2190"/>
      <c r="D120" s="184"/>
      <c r="E120" s="420"/>
      <c r="F120" s="907" t="str">
        <f>IF(AND(B120&lt;&gt;"Select",OR(B120=B118,B120=B119,B120=B117,B120=B116)),"Please select another type of basic service","")</f>
        <v/>
      </c>
      <c r="G120" s="49"/>
      <c r="H120" s="49"/>
      <c r="I120" s="49"/>
      <c r="J120" s="49"/>
      <c r="K120" s="49"/>
      <c r="L120" s="49"/>
      <c r="M120" s="49"/>
      <c r="N120" s="38" t="str">
        <f>IF(AND(B120&lt;&gt;"Select",OR(B120=B118,B120=B119,B120=B117,B120=B116)),"No",IF(AND(D120&lt;&gt;"",B120&lt;&gt;"Select",B120&lt;&gt;"",E120&lt;&gt;"",E120&lt;=500),"Yes","No"))</f>
        <v>No</v>
      </c>
      <c r="O120" s="38" t="s">
        <v>1641</v>
      </c>
    </row>
    <row r="121" spans="1:15" ht="17.25" customHeight="1" x14ac:dyDescent="0.25">
      <c r="A121" s="49"/>
      <c r="B121" s="50"/>
      <c r="C121" s="50"/>
      <c r="D121" s="50"/>
      <c r="E121" s="50"/>
      <c r="F121" s="49"/>
      <c r="G121" s="49"/>
      <c r="H121" s="49"/>
      <c r="I121" s="49"/>
      <c r="J121" s="49"/>
      <c r="K121" s="49"/>
      <c r="L121" s="49"/>
      <c r="M121" s="49"/>
      <c r="O121" s="38" t="s">
        <v>1649</v>
      </c>
    </row>
    <row r="122" spans="1:15" ht="18" customHeight="1" x14ac:dyDescent="0.25">
      <c r="A122" s="49"/>
      <c r="B122" s="2191" t="s">
        <v>1628</v>
      </c>
      <c r="C122" s="2192"/>
      <c r="D122" s="2193"/>
      <c r="E122" s="659" t="str">
        <f>IF(COUNTIF(N116:N120,"Yes")=5,"Yes","No")</f>
        <v>No</v>
      </c>
      <c r="F122" s="49"/>
      <c r="G122" s="49"/>
      <c r="H122" s="49"/>
      <c r="I122" s="49"/>
      <c r="J122" s="49"/>
      <c r="K122" s="49"/>
      <c r="L122" s="49"/>
      <c r="M122" s="49"/>
      <c r="O122" s="38" t="s">
        <v>1650</v>
      </c>
    </row>
    <row r="123" spans="1:15" ht="16.5" customHeight="1" x14ac:dyDescent="0.25">
      <c r="A123" s="49"/>
      <c r="B123" s="50"/>
      <c r="C123" s="50"/>
      <c r="D123" s="50"/>
      <c r="E123" s="50"/>
      <c r="F123" s="49"/>
      <c r="G123" s="49"/>
      <c r="H123" s="49"/>
      <c r="I123" s="49"/>
      <c r="J123" s="49"/>
      <c r="K123" s="49"/>
      <c r="L123" s="49"/>
      <c r="M123" s="49"/>
      <c r="O123" s="38" t="s">
        <v>1651</v>
      </c>
    </row>
    <row r="124" spans="1:15" ht="16.5" customHeight="1" x14ac:dyDescent="0.25">
      <c r="A124" s="2166" t="s">
        <v>186</v>
      </c>
      <c r="B124" s="2166"/>
      <c r="C124" s="2166"/>
      <c r="D124" s="50"/>
      <c r="E124" s="50"/>
      <c r="F124" s="50"/>
      <c r="G124" s="50"/>
      <c r="H124" s="50"/>
      <c r="I124" s="50"/>
      <c r="J124" s="50"/>
      <c r="K124" s="50"/>
      <c r="L124" s="50"/>
      <c r="M124" s="50"/>
      <c r="O124" s="38" t="s">
        <v>1652</v>
      </c>
    </row>
    <row r="125" spans="1:15" x14ac:dyDescent="0.25">
      <c r="A125" s="49"/>
      <c r="B125" s="50"/>
      <c r="C125" s="50"/>
      <c r="D125" s="50"/>
      <c r="E125" s="49"/>
      <c r="F125" s="49"/>
      <c r="G125" s="49"/>
      <c r="H125" s="49"/>
      <c r="I125" s="49"/>
      <c r="J125" s="49"/>
      <c r="K125" s="49"/>
      <c r="L125" s="49"/>
      <c r="M125" s="49"/>
      <c r="O125" s="38" t="s">
        <v>1653</v>
      </c>
    </row>
    <row r="126" spans="1:15" ht="21" customHeight="1" x14ac:dyDescent="0.25">
      <c r="A126" s="49"/>
      <c r="B126" s="2183" t="s">
        <v>1739</v>
      </c>
      <c r="C126" s="2184"/>
      <c r="D126" s="2184"/>
      <c r="E126" s="2184"/>
      <c r="F126" s="2184"/>
      <c r="G126" s="1100" t="s">
        <v>1737</v>
      </c>
      <c r="H126" s="2185" t="s">
        <v>1738</v>
      </c>
      <c r="I126" s="2186"/>
      <c r="J126" s="49"/>
      <c r="K126" s="49"/>
      <c r="L126" s="49"/>
      <c r="M126" s="49"/>
      <c r="O126" s="38" t="s">
        <v>1642</v>
      </c>
    </row>
    <row r="127" spans="1:15" ht="25.5" customHeight="1" x14ac:dyDescent="0.25">
      <c r="A127" s="49"/>
      <c r="B127" s="2079" t="s">
        <v>1645</v>
      </c>
      <c r="C127" s="2080"/>
      <c r="D127" s="2080"/>
      <c r="E127" s="2080"/>
      <c r="F127" s="2156"/>
      <c r="G127" s="1164" t="s">
        <v>124</v>
      </c>
      <c r="H127" s="1931"/>
      <c r="I127" s="1932"/>
      <c r="J127" s="49"/>
      <c r="K127" s="49"/>
      <c r="L127" s="49"/>
      <c r="M127" s="49"/>
      <c r="O127" s="38" t="s">
        <v>1643</v>
      </c>
    </row>
    <row r="128" spans="1:15" ht="24" customHeight="1" x14ac:dyDescent="0.25">
      <c r="A128" s="49"/>
      <c r="B128" s="2079" t="s">
        <v>1134</v>
      </c>
      <c r="C128" s="2080"/>
      <c r="D128" s="2080"/>
      <c r="E128" s="2080"/>
      <c r="F128" s="2156"/>
      <c r="G128" s="1164" t="s">
        <v>124</v>
      </c>
      <c r="H128" s="1931"/>
      <c r="I128" s="1932"/>
      <c r="J128" s="49"/>
      <c r="K128" s="49"/>
      <c r="L128" s="49"/>
      <c r="M128" s="49"/>
      <c r="O128" s="38" t="s">
        <v>1644</v>
      </c>
    </row>
    <row r="129" spans="1:13" ht="18.75" customHeight="1" x14ac:dyDescent="0.25">
      <c r="A129" s="49"/>
      <c r="B129" s="50"/>
      <c r="C129" s="50"/>
      <c r="D129" s="50"/>
      <c r="E129" s="50"/>
      <c r="F129" s="49"/>
      <c r="G129" s="49"/>
      <c r="H129" s="49"/>
      <c r="I129" s="49"/>
      <c r="J129" s="49"/>
      <c r="K129" s="49"/>
      <c r="L129" s="49"/>
      <c r="M129" s="49"/>
    </row>
    <row r="130" spans="1:13" ht="16.5" customHeight="1" x14ac:dyDescent="0.25">
      <c r="A130" s="2166" t="s">
        <v>22</v>
      </c>
      <c r="B130" s="2166"/>
      <c r="C130" s="2166"/>
      <c r="D130" s="50"/>
      <c r="E130" s="50"/>
      <c r="F130" s="49"/>
      <c r="G130" s="49"/>
      <c r="H130" s="49"/>
      <c r="I130" s="49"/>
      <c r="J130" s="49"/>
      <c r="K130" s="49"/>
      <c r="L130" s="49"/>
      <c r="M130" s="49"/>
    </row>
    <row r="131" spans="1:13" x14ac:dyDescent="0.25">
      <c r="A131" s="49"/>
      <c r="B131" s="50"/>
      <c r="C131" s="50"/>
      <c r="D131" s="50"/>
      <c r="E131" s="50"/>
      <c r="F131" s="49"/>
      <c r="G131" s="49"/>
      <c r="H131" s="49"/>
      <c r="I131" s="49"/>
      <c r="J131" s="49"/>
      <c r="K131" s="49"/>
      <c r="L131" s="49"/>
      <c r="M131" s="49"/>
    </row>
    <row r="132" spans="1:13" ht="18" customHeight="1" x14ac:dyDescent="0.25">
      <c r="A132" s="49"/>
      <c r="B132" s="241" t="s">
        <v>53</v>
      </c>
      <c r="C132" s="1335">
        <f>IF(E122="Yes",1,0)</f>
        <v>0</v>
      </c>
      <c r="D132" s="50"/>
      <c r="E132" s="50"/>
      <c r="F132" s="49"/>
      <c r="G132" s="49"/>
      <c r="H132" s="49"/>
      <c r="I132" s="49"/>
      <c r="J132" s="49"/>
      <c r="K132" s="49"/>
      <c r="L132" s="49"/>
      <c r="M132" s="49"/>
    </row>
    <row r="133" spans="1:13" ht="18" customHeight="1" x14ac:dyDescent="0.25">
      <c r="A133" s="49"/>
      <c r="B133" s="245" t="s">
        <v>492</v>
      </c>
      <c r="C133" s="1335" t="str">
        <f>IF(AND(COUNTIF(G127:G128,"Submitted")=2,C132&gt;0),"Yes","No")</f>
        <v>No</v>
      </c>
      <c r="D133" s="50"/>
      <c r="E133" s="50"/>
      <c r="F133" s="49"/>
      <c r="G133" s="49"/>
      <c r="H133" s="49"/>
      <c r="I133" s="49"/>
      <c r="J133" s="49"/>
      <c r="K133" s="49"/>
      <c r="L133" s="49"/>
      <c r="M133" s="49"/>
    </row>
    <row r="134" spans="1:13" x14ac:dyDescent="0.25">
      <c r="A134" s="49"/>
      <c r="B134" s="50"/>
      <c r="C134" s="50"/>
      <c r="D134" s="50"/>
      <c r="E134" s="50"/>
      <c r="F134" s="49"/>
      <c r="G134" s="49"/>
      <c r="H134" s="49"/>
      <c r="I134" s="49"/>
      <c r="J134" s="49"/>
      <c r="K134" s="49"/>
      <c r="L134" s="49"/>
      <c r="M134" s="49"/>
    </row>
    <row r="135" spans="1:13" x14ac:dyDescent="0.25">
      <c r="A135" s="49"/>
      <c r="B135" s="50"/>
      <c r="C135" s="50"/>
      <c r="D135" s="50"/>
      <c r="E135" s="50"/>
      <c r="F135" s="49"/>
      <c r="G135" s="49"/>
      <c r="H135" s="49"/>
      <c r="I135" s="49"/>
      <c r="J135" s="49"/>
      <c r="K135" s="49"/>
      <c r="L135" s="49"/>
      <c r="M135" s="49"/>
    </row>
    <row r="136" spans="1:13" hidden="1" x14ac:dyDescent="0.25"/>
    <row r="137" spans="1:13" hidden="1" x14ac:dyDescent="0.25"/>
    <row r="138" spans="1:13" hidden="1" x14ac:dyDescent="0.25"/>
    <row r="139" spans="1:13" hidden="1" x14ac:dyDescent="0.25"/>
    <row r="140" spans="1:13" hidden="1" x14ac:dyDescent="0.25"/>
    <row r="141" spans="1:13" hidden="1" x14ac:dyDescent="0.25"/>
    <row r="142" spans="1:13" hidden="1" x14ac:dyDescent="0.25"/>
    <row r="143" spans="1:13" hidden="1" x14ac:dyDescent="0.25"/>
    <row r="144" spans="1:13"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sheetData>
  <sheetProtection algorithmName="SHA-512" hashValue="r54J1ak4LdVg/VCnwgNWQUcTtnoMgklFRmFBuNHi43cSDICCaLB6+HzK0fKWLxgyoj2acK9DVe9nPBnBFw2nqg==" saltValue="4/VjCiMH8zZvqkoyisT4xw==" spinCount="100000" sheet="1" objects="1" scenarios="1"/>
  <mergeCells count="74">
    <mergeCell ref="B126:F126"/>
    <mergeCell ref="H126:I126"/>
    <mergeCell ref="H127:I127"/>
    <mergeCell ref="H128:I128"/>
    <mergeCell ref="H97:I97"/>
    <mergeCell ref="B115:C115"/>
    <mergeCell ref="B116:C116"/>
    <mergeCell ref="B117:C117"/>
    <mergeCell ref="B118:C118"/>
    <mergeCell ref="B119:C119"/>
    <mergeCell ref="B120:C120"/>
    <mergeCell ref="B122:D122"/>
    <mergeCell ref="A104:M104"/>
    <mergeCell ref="B50:F50"/>
    <mergeCell ref="H50:I50"/>
    <mergeCell ref="B74:F74"/>
    <mergeCell ref="H74:I74"/>
    <mergeCell ref="B96:F96"/>
    <mergeCell ref="H96:I96"/>
    <mergeCell ref="H75:I75"/>
    <mergeCell ref="H51:I51"/>
    <mergeCell ref="B66:H66"/>
    <mergeCell ref="A53:C53"/>
    <mergeCell ref="A58:M58"/>
    <mergeCell ref="A82:M82"/>
    <mergeCell ref="B70:C70"/>
    <mergeCell ref="B13:E13"/>
    <mergeCell ref="B14:E14"/>
    <mergeCell ref="A18:M18"/>
    <mergeCell ref="A1:M1"/>
    <mergeCell ref="A5:M7"/>
    <mergeCell ref="I2:J4"/>
    <mergeCell ref="B16:E16"/>
    <mergeCell ref="B12:E12"/>
    <mergeCell ref="B11:E11"/>
    <mergeCell ref="A9:M9"/>
    <mergeCell ref="B15:E15"/>
    <mergeCell ref="A20:C20"/>
    <mergeCell ref="A48:C48"/>
    <mergeCell ref="B29:F29"/>
    <mergeCell ref="B30:F30"/>
    <mergeCell ref="B31:F31"/>
    <mergeCell ref="B32:F32"/>
    <mergeCell ref="B33:F33"/>
    <mergeCell ref="B34:F34"/>
    <mergeCell ref="B38:F38"/>
    <mergeCell ref="B39:F39"/>
    <mergeCell ref="B40:F40"/>
    <mergeCell ref="B26:G26"/>
    <mergeCell ref="B27:G27"/>
    <mergeCell ref="B36:G36"/>
    <mergeCell ref="B37:G37"/>
    <mergeCell ref="B28:G28"/>
    <mergeCell ref="B41:F41"/>
    <mergeCell ref="B42:F42"/>
    <mergeCell ref="B43:F43"/>
    <mergeCell ref="B44:F44"/>
    <mergeCell ref="B46:C46"/>
    <mergeCell ref="A130:C130"/>
    <mergeCell ref="B51:F51"/>
    <mergeCell ref="B75:F75"/>
    <mergeCell ref="B97:F97"/>
    <mergeCell ref="B127:F127"/>
    <mergeCell ref="B128:F128"/>
    <mergeCell ref="A60:C60"/>
    <mergeCell ref="A84:C84"/>
    <mergeCell ref="A106:C106"/>
    <mergeCell ref="A72:C72"/>
    <mergeCell ref="A77:C77"/>
    <mergeCell ref="A94:C94"/>
    <mergeCell ref="A99:C99"/>
    <mergeCell ref="A124:C124"/>
    <mergeCell ref="B67:E67"/>
    <mergeCell ref="B68:E68"/>
  </mergeCells>
  <conditionalFormatting sqref="G97">
    <cfRule type="expression" dxfId="93" priority="15">
      <formula>#REF!&lt;&gt;"Prescriptive Path"</formula>
    </cfRule>
  </conditionalFormatting>
  <conditionalFormatting sqref="H96:I96">
    <cfRule type="expression" dxfId="92" priority="10">
      <formula>#REF!&lt;&gt;"Prescriptive Path"</formula>
    </cfRule>
  </conditionalFormatting>
  <conditionalFormatting sqref="H50:I50">
    <cfRule type="expression" dxfId="91" priority="12">
      <formula>#REF!&lt;&gt;"Prescriptive Path"</formula>
    </cfRule>
  </conditionalFormatting>
  <conditionalFormatting sqref="H74:I74">
    <cfRule type="expression" dxfId="90" priority="11">
      <formula>#REF!&lt;&gt;"Prescriptive Path"</formula>
    </cfRule>
  </conditionalFormatting>
  <conditionalFormatting sqref="H126:I126">
    <cfRule type="expression" dxfId="89" priority="9">
      <formula>#REF!&lt;&gt;"Prescriptive Path"</formula>
    </cfRule>
  </conditionalFormatting>
  <conditionalFormatting sqref="H127:H128">
    <cfRule type="expression" dxfId="88" priority="8">
      <formula>#REF!&lt;&gt;"Prescriptive Path"</formula>
    </cfRule>
  </conditionalFormatting>
  <conditionalFormatting sqref="H97">
    <cfRule type="expression" dxfId="87" priority="7">
      <formula>#REF!&lt;&gt;"Prescriptive Path"</formula>
    </cfRule>
  </conditionalFormatting>
  <conditionalFormatting sqref="H75">
    <cfRule type="expression" dxfId="86" priority="6">
      <formula>#REF!&lt;&gt;"Prescriptive Path"</formula>
    </cfRule>
  </conditionalFormatting>
  <conditionalFormatting sqref="H51">
    <cfRule type="expression" dxfId="85" priority="5">
      <formula>#REF!&lt;&gt;"Prescriptive Path"</formula>
    </cfRule>
  </conditionalFormatting>
  <conditionalFormatting sqref="G127">
    <cfRule type="expression" dxfId="84" priority="4">
      <formula>#REF!&lt;&gt;"Prescriptive Path"</formula>
    </cfRule>
  </conditionalFormatting>
  <conditionalFormatting sqref="G128">
    <cfRule type="expression" dxfId="83" priority="3">
      <formula>#REF!&lt;&gt;"Prescriptive Path"</formula>
    </cfRule>
  </conditionalFormatting>
  <conditionalFormatting sqref="G75">
    <cfRule type="expression" dxfId="82" priority="2">
      <formula>#REF!&lt;&gt;"Prescriptive Path"</formula>
    </cfRule>
  </conditionalFormatting>
  <conditionalFormatting sqref="G51">
    <cfRule type="expression" dxfId="81" priority="1">
      <formula>#REF!&lt;&gt;"Prescriptive Path"</formula>
    </cfRule>
  </conditionalFormatting>
  <dataValidations count="4">
    <dataValidation type="list" allowBlank="1" showInputMessage="1" showErrorMessage="1" sqref="B92" xr:uid="{00000000-0002-0000-2900-000000000000}">
      <formula1>"Select,metro station, bus stop"</formula1>
    </dataValidation>
    <dataValidation type="list" allowBlank="1" showInputMessage="1" showErrorMessage="1" sqref="B116:C120" xr:uid="{00000000-0002-0000-2900-000001000000}">
      <formula1>basic_services</formula1>
    </dataValidation>
    <dataValidation type="list" allowBlank="1" showInputMessage="1" showErrorMessage="1" sqref="F67:F68 G38:G44 G29:G34" xr:uid="{00000000-0002-0000-2900-000002000000}">
      <formula1>"Select,Yes,No"</formula1>
    </dataValidation>
    <dataValidation type="list" allowBlank="1" showInputMessage="1" showErrorMessage="1" sqref="G97 G127:G128 G75 G51" xr:uid="{00000000-0002-0000-2900-000003000000}">
      <formula1>"Select,Submitted,Not submitted"</formula1>
    </dataValidation>
  </dataValidations>
  <hyperlinks>
    <hyperlink ref="K2" location="'LE-2 Site design'!B3" tooltip="LE-2" display="LE-2" xr:uid="{00000000-0004-0000-2900-000000000000}"/>
    <hyperlink ref="K3" location="'LE-3 Vegetation'!D3" tooltip="LE-3" display="LE-3" xr:uid="{00000000-0004-0000-2900-000001000000}"/>
    <hyperlink ref="L3:L4" location="'LE-5 Storm Water Runoff'!A1" tooltip="LE-5" display="LE-5" xr:uid="{00000000-0004-0000-2900-000002000000}"/>
    <hyperlink ref="L3" location="'LE-6 Flood Risk Mitigation'!E3" tooltip="LE-6" display="LE-6" xr:uid="{00000000-0004-0000-2900-000003000000}"/>
    <hyperlink ref="L4" location="'LE-7 Refrigerants'!E3" tooltip="LE-7" display="LE-7" xr:uid="{00000000-0004-0000-2900-000004000000}"/>
    <hyperlink ref="K4" location="'LE-4 Heat Island Effect'!D3" tooltip="LE-4" display="LE-4" xr:uid="{00000000-0004-0000-2900-000005000000}"/>
    <hyperlink ref="M3" location="'LE-8 Recycling Storage Area'!B3" tooltip="LE-8" display="LE-8" xr:uid="{00000000-0004-0000-2900-000006000000}"/>
    <hyperlink ref="L2" location="'LE-5 Storm Water Runoff'!B3" tooltip="LE-5" display="LE-5" xr:uid="{00000000-0004-0000-2900-000007000000}"/>
  </hyperlinks>
  <pageMargins left="0.7" right="0.7" top="0.75" bottom="0.75" header="0.3" footer="0.3"/>
  <pageSetup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76923C"/>
  </sheetPr>
  <dimension ref="A1:O96"/>
  <sheetViews>
    <sheetView showRowColHeaders="0" workbookViewId="0">
      <pane ySplit="8" topLeftCell="A16" activePane="bottomLeft" state="frozen"/>
      <selection activeCell="M21" sqref="M21"/>
      <selection pane="bottomLeft" activeCell="J4" sqref="J4"/>
    </sheetView>
  </sheetViews>
  <sheetFormatPr defaultColWidth="0" defaultRowHeight="15" zeroHeight="1" x14ac:dyDescent="0.25"/>
  <cols>
    <col min="1" max="1" width="5.85546875" style="38" customWidth="1"/>
    <col min="2" max="5" width="18.42578125" style="38" customWidth="1"/>
    <col min="6" max="8" width="18.5703125" style="38" customWidth="1"/>
    <col min="9" max="12" width="8.7109375" style="38" customWidth="1"/>
    <col min="13" max="13" width="34.28515625" style="38" hidden="1" customWidth="1"/>
    <col min="14" max="16384" width="9.140625" style="38" hidden="1"/>
  </cols>
  <sheetData>
    <row r="1" spans="1:13" ht="24" customHeight="1" x14ac:dyDescent="0.25">
      <c r="A1" s="1348" t="s">
        <v>211</v>
      </c>
      <c r="B1" s="1348"/>
      <c r="C1" s="1348"/>
      <c r="D1" s="1348"/>
      <c r="E1" s="1348"/>
      <c r="F1" s="1348"/>
      <c r="G1" s="1348"/>
      <c r="H1" s="1348"/>
      <c r="I1" s="1348"/>
      <c r="J1" s="1348"/>
      <c r="K1" s="1348"/>
      <c r="L1" s="1348"/>
    </row>
    <row r="2" spans="1:13" ht="15" customHeight="1" x14ac:dyDescent="0.25">
      <c r="A2" s="49"/>
      <c r="B2" s="50"/>
      <c r="C2" s="50"/>
      <c r="D2" s="50"/>
      <c r="E2" s="50"/>
      <c r="F2" s="49"/>
      <c r="G2" s="1585" t="s">
        <v>517</v>
      </c>
      <c r="H2" s="1585"/>
      <c r="I2" s="1585"/>
      <c r="J2" s="230" t="s">
        <v>57</v>
      </c>
      <c r="K2" s="230" t="s">
        <v>73</v>
      </c>
      <c r="L2" s="230"/>
    </row>
    <row r="3" spans="1:13" ht="15" customHeight="1" x14ac:dyDescent="0.25">
      <c r="A3" s="49"/>
      <c r="B3" s="50"/>
      <c r="C3" s="50"/>
      <c r="D3" s="50"/>
      <c r="E3" s="50"/>
      <c r="F3" s="49"/>
      <c r="G3" s="1585"/>
      <c r="H3" s="1585"/>
      <c r="I3" s="1585"/>
      <c r="J3" s="230" t="s">
        <v>65</v>
      </c>
      <c r="K3" s="230" t="s">
        <v>77</v>
      </c>
      <c r="L3" s="230" t="s">
        <v>155</v>
      </c>
    </row>
    <row r="4" spans="1:13" ht="15" customHeight="1" x14ac:dyDescent="0.25">
      <c r="A4" s="49"/>
      <c r="B4" s="50"/>
      <c r="C4" s="50"/>
      <c r="D4" s="50"/>
      <c r="E4" s="50"/>
      <c r="F4" s="49"/>
      <c r="G4" s="1586"/>
      <c r="H4" s="1586"/>
      <c r="I4" s="1586"/>
      <c r="J4" s="230" t="s">
        <v>69</v>
      </c>
      <c r="K4" s="230" t="s">
        <v>126</v>
      </c>
      <c r="L4" s="213"/>
    </row>
    <row r="5" spans="1:13" ht="21" customHeight="1" x14ac:dyDescent="0.25">
      <c r="A5" s="1600" t="s">
        <v>2655</v>
      </c>
      <c r="B5" s="1601"/>
      <c r="C5" s="1601"/>
      <c r="D5" s="1601"/>
      <c r="E5" s="1601"/>
      <c r="F5" s="1601"/>
      <c r="G5" s="1601"/>
      <c r="H5" s="1601"/>
      <c r="I5" s="1601"/>
      <c r="J5" s="1601"/>
      <c r="K5" s="1601"/>
      <c r="L5" s="1601"/>
      <c r="M5" s="173"/>
    </row>
    <row r="6" spans="1:13" ht="21" customHeight="1" x14ac:dyDescent="0.25">
      <c r="A6" s="1603"/>
      <c r="B6" s="1604"/>
      <c r="C6" s="1604"/>
      <c r="D6" s="1604"/>
      <c r="E6" s="1604"/>
      <c r="F6" s="1604"/>
      <c r="G6" s="1604"/>
      <c r="H6" s="1604"/>
      <c r="I6" s="1604"/>
      <c r="J6" s="1604"/>
      <c r="K6" s="1604"/>
      <c r="L6" s="1604"/>
      <c r="M6" s="175"/>
    </row>
    <row r="7" spans="1:13" ht="21" customHeight="1" x14ac:dyDescent="0.25">
      <c r="A7" s="1606"/>
      <c r="B7" s="1607"/>
      <c r="C7" s="1607"/>
      <c r="D7" s="1607"/>
      <c r="E7" s="1607"/>
      <c r="F7" s="1607"/>
      <c r="G7" s="1607"/>
      <c r="H7" s="1607"/>
      <c r="I7" s="1607"/>
      <c r="J7" s="1607"/>
      <c r="K7" s="1607"/>
      <c r="L7" s="1607"/>
      <c r="M7" s="177"/>
    </row>
    <row r="8" spans="1:13" ht="12" customHeight="1" x14ac:dyDescent="0.25">
      <c r="A8" s="49"/>
      <c r="B8" s="50"/>
      <c r="C8" s="50"/>
      <c r="D8" s="50"/>
      <c r="E8" s="50"/>
      <c r="F8" s="49"/>
      <c r="G8" s="49"/>
      <c r="H8" s="49"/>
      <c r="I8" s="49"/>
      <c r="J8" s="49"/>
      <c r="K8" s="49"/>
      <c r="L8" s="49"/>
      <c r="M8" s="49"/>
    </row>
    <row r="9" spans="1:13" ht="18" customHeight="1" x14ac:dyDescent="0.25">
      <c r="A9" s="2180" t="s">
        <v>177</v>
      </c>
      <c r="B9" s="2180"/>
      <c r="C9" s="2180"/>
      <c r="D9" s="2180"/>
      <c r="E9" s="2180"/>
      <c r="F9" s="2180"/>
      <c r="G9" s="2180"/>
      <c r="H9" s="2180"/>
      <c r="I9" s="2180"/>
      <c r="J9" s="2180"/>
      <c r="K9" s="2180"/>
      <c r="L9" s="2180"/>
    </row>
    <row r="10" spans="1:13" ht="16.5" customHeight="1" x14ac:dyDescent="0.25">
      <c r="A10" s="49"/>
      <c r="B10" s="50"/>
      <c r="C10" s="50"/>
      <c r="D10" s="50"/>
      <c r="E10" s="50"/>
      <c r="F10" s="49"/>
      <c r="G10" s="49"/>
      <c r="H10" s="49"/>
      <c r="I10" s="49"/>
      <c r="J10" s="49"/>
      <c r="K10" s="49"/>
      <c r="L10" s="49"/>
    </row>
    <row r="11" spans="1:13" ht="19.5" customHeight="1" x14ac:dyDescent="0.25">
      <c r="A11" s="49"/>
      <c r="B11" s="2181" t="s">
        <v>178</v>
      </c>
      <c r="C11" s="2182"/>
      <c r="D11" s="2182"/>
      <c r="E11" s="2182"/>
      <c r="F11" s="640" t="s">
        <v>152</v>
      </c>
      <c r="G11" s="640" t="s">
        <v>53</v>
      </c>
      <c r="H11" s="56" t="s">
        <v>492</v>
      </c>
      <c r="I11" s="49"/>
      <c r="J11" s="49"/>
      <c r="K11" s="49"/>
      <c r="L11" s="49"/>
    </row>
    <row r="12" spans="1:13" ht="40.5" customHeight="1" x14ac:dyDescent="0.25">
      <c r="A12" s="49"/>
      <c r="B12" s="1611" t="s">
        <v>316</v>
      </c>
      <c r="C12" s="1612"/>
      <c r="D12" s="1612"/>
      <c r="E12" s="2021"/>
      <c r="F12" s="221">
        <v>1</v>
      </c>
      <c r="G12" s="55">
        <f>C61</f>
        <v>0</v>
      </c>
      <c r="H12" s="55" t="str">
        <f>C62</f>
        <v>No</v>
      </c>
      <c r="I12" s="49"/>
      <c r="J12" s="49"/>
      <c r="K12" s="49"/>
      <c r="L12" s="49"/>
    </row>
    <row r="13" spans="1:13" ht="27" customHeight="1" x14ac:dyDescent="0.25">
      <c r="A13" s="49"/>
      <c r="B13" s="1611" t="s">
        <v>1661</v>
      </c>
      <c r="C13" s="1612" t="s">
        <v>134</v>
      </c>
      <c r="D13" s="1612" t="s">
        <v>134</v>
      </c>
      <c r="E13" s="2021" t="s">
        <v>134</v>
      </c>
      <c r="F13" s="221">
        <v>1</v>
      </c>
      <c r="G13" s="55">
        <f>C89</f>
        <v>0</v>
      </c>
      <c r="H13" s="55" t="str">
        <f>C90</f>
        <v>No</v>
      </c>
      <c r="I13" s="49"/>
      <c r="J13" s="49"/>
      <c r="K13" s="49"/>
      <c r="L13" s="49"/>
    </row>
    <row r="14" spans="1:13" ht="21" customHeight="1" x14ac:dyDescent="0.25">
      <c r="A14" s="49"/>
      <c r="B14" s="1613" t="s">
        <v>79</v>
      </c>
      <c r="C14" s="1748"/>
      <c r="D14" s="1748"/>
      <c r="E14" s="1748"/>
      <c r="F14" s="631">
        <v>2</v>
      </c>
      <c r="G14" s="631">
        <f>MIN(2,SUM(G12:G13))</f>
        <v>0</v>
      </c>
      <c r="H14" s="631" t="str">
        <f>IF(AND(COUNTIF(H12:H13,"No")=0,COUNTIF(H12:H13,"Yes")&gt;0),"Yes","No")</f>
        <v>No</v>
      </c>
      <c r="I14" s="49"/>
      <c r="J14" s="49"/>
      <c r="K14" s="49"/>
      <c r="L14" s="49"/>
    </row>
    <row r="15" spans="1:13" ht="16.5" customHeight="1" x14ac:dyDescent="0.25">
      <c r="A15" s="49"/>
      <c r="B15" s="50"/>
      <c r="C15" s="50"/>
      <c r="D15" s="50"/>
      <c r="E15" s="50"/>
      <c r="F15" s="49"/>
      <c r="G15" s="49"/>
      <c r="H15" s="49"/>
      <c r="I15" s="49"/>
      <c r="J15" s="49"/>
      <c r="K15" s="49"/>
      <c r="L15" s="49"/>
    </row>
    <row r="16" spans="1:13" ht="18" customHeight="1" x14ac:dyDescent="0.25">
      <c r="A16" s="2180" t="s">
        <v>317</v>
      </c>
      <c r="B16" s="2180"/>
      <c r="C16" s="2180"/>
      <c r="D16" s="2180"/>
      <c r="E16" s="2180"/>
      <c r="F16" s="2180"/>
      <c r="G16" s="2180"/>
      <c r="H16" s="2180"/>
      <c r="I16" s="2180"/>
      <c r="J16" s="2180"/>
      <c r="K16" s="2180"/>
      <c r="L16" s="2180"/>
    </row>
    <row r="17" spans="1:12" x14ac:dyDescent="0.25">
      <c r="A17" s="49"/>
      <c r="B17" s="50"/>
      <c r="C17" s="50"/>
      <c r="D17" s="50"/>
      <c r="E17" s="50"/>
      <c r="F17" s="49"/>
      <c r="G17" s="49"/>
      <c r="H17" s="49"/>
      <c r="I17" s="49"/>
      <c r="J17" s="49"/>
      <c r="K17" s="49"/>
      <c r="L17" s="49"/>
    </row>
    <row r="18" spans="1:12" ht="16.5" customHeight="1" x14ac:dyDescent="0.25">
      <c r="A18" s="2166" t="s">
        <v>245</v>
      </c>
      <c r="B18" s="2166"/>
      <c r="C18" s="2166"/>
      <c r="D18" s="50"/>
      <c r="E18" s="50"/>
      <c r="F18" s="49"/>
      <c r="G18" s="49"/>
      <c r="H18" s="49"/>
      <c r="I18" s="49"/>
      <c r="J18" s="49"/>
      <c r="K18" s="49"/>
      <c r="L18" s="49"/>
    </row>
    <row r="19" spans="1:12" ht="12" customHeight="1" x14ac:dyDescent="0.25">
      <c r="A19" s="49"/>
      <c r="B19" s="49"/>
      <c r="C19" s="49"/>
      <c r="D19" s="50"/>
      <c r="E19" s="50"/>
      <c r="F19" s="49"/>
      <c r="G19" s="49"/>
      <c r="H19" s="49"/>
      <c r="I19" s="49"/>
      <c r="J19" s="49"/>
      <c r="K19" s="49"/>
      <c r="L19" s="49"/>
    </row>
    <row r="20" spans="1:12" x14ac:dyDescent="0.25">
      <c r="A20" s="49"/>
      <c r="B20" s="664" t="s">
        <v>1504</v>
      </c>
      <c r="C20" s="49"/>
      <c r="D20" s="50"/>
      <c r="E20" s="50"/>
      <c r="F20" s="49"/>
      <c r="G20" s="49"/>
      <c r="H20" s="49"/>
      <c r="I20" s="49"/>
      <c r="J20" s="49"/>
      <c r="K20" s="49"/>
      <c r="L20" s="49"/>
    </row>
    <row r="21" spans="1:12" x14ac:dyDescent="0.25">
      <c r="A21" s="49"/>
      <c r="B21" s="49"/>
      <c r="C21" s="49"/>
      <c r="D21" s="50"/>
      <c r="E21" s="50"/>
      <c r="F21" s="49"/>
      <c r="G21" s="49"/>
      <c r="H21" s="49"/>
      <c r="I21" s="49"/>
      <c r="J21" s="49"/>
      <c r="K21" s="49"/>
      <c r="L21" s="49"/>
    </row>
    <row r="22" spans="1:12" x14ac:dyDescent="0.25">
      <c r="A22" s="49"/>
      <c r="B22" s="585" t="s">
        <v>980</v>
      </c>
      <c r="C22" s="570"/>
      <c r="D22" s="570"/>
      <c r="E22" s="570"/>
      <c r="F22" s="571"/>
      <c r="G22" s="49"/>
      <c r="H22" s="49"/>
      <c r="I22" s="49"/>
      <c r="J22" s="49"/>
      <c r="K22" s="49"/>
      <c r="L22" s="49"/>
    </row>
    <row r="23" spans="1:12" x14ac:dyDescent="0.25">
      <c r="A23" s="49"/>
      <c r="B23" s="810" t="s">
        <v>306</v>
      </c>
      <c r="C23" s="567"/>
      <c r="D23" s="567"/>
      <c r="E23" s="567"/>
      <c r="F23" s="573"/>
      <c r="G23" s="49"/>
      <c r="H23" s="49"/>
      <c r="I23" s="49"/>
      <c r="J23" s="49"/>
      <c r="K23" s="49"/>
      <c r="L23" s="49"/>
    </row>
    <row r="24" spans="1:12" x14ac:dyDescent="0.25">
      <c r="A24" s="49"/>
      <c r="B24" s="810" t="s">
        <v>307</v>
      </c>
      <c r="C24" s="567"/>
      <c r="D24" s="567"/>
      <c r="E24" s="567"/>
      <c r="F24" s="573"/>
      <c r="G24" s="49"/>
      <c r="H24" s="49"/>
      <c r="I24" s="49"/>
      <c r="J24" s="49"/>
      <c r="K24" s="49"/>
      <c r="L24" s="49"/>
    </row>
    <row r="25" spans="1:12" x14ac:dyDescent="0.25">
      <c r="A25" s="49"/>
      <c r="B25" s="810" t="s">
        <v>308</v>
      </c>
      <c r="C25" s="567"/>
      <c r="D25" s="567"/>
      <c r="E25" s="567"/>
      <c r="F25" s="573"/>
      <c r="G25" s="49"/>
      <c r="H25" s="49"/>
      <c r="I25" s="49"/>
      <c r="J25" s="49"/>
      <c r="K25" s="49"/>
      <c r="L25" s="49"/>
    </row>
    <row r="26" spans="1:12" x14ac:dyDescent="0.25">
      <c r="A26" s="49"/>
      <c r="B26" s="810" t="s">
        <v>309</v>
      </c>
      <c r="C26" s="567"/>
      <c r="D26" s="567"/>
      <c r="E26" s="567"/>
      <c r="F26" s="573"/>
      <c r="G26" s="49"/>
      <c r="H26" s="49"/>
      <c r="I26" s="49"/>
      <c r="J26" s="49"/>
      <c r="K26" s="49"/>
      <c r="L26" s="49"/>
    </row>
    <row r="27" spans="1:12" x14ac:dyDescent="0.25">
      <c r="A27" s="49"/>
      <c r="B27" s="810" t="s">
        <v>310</v>
      </c>
      <c r="C27" s="567"/>
      <c r="D27" s="567"/>
      <c r="E27" s="567"/>
      <c r="F27" s="573"/>
      <c r="G27" s="49"/>
      <c r="H27" s="49"/>
      <c r="I27" s="49"/>
      <c r="J27" s="49"/>
      <c r="K27" s="49"/>
      <c r="L27" s="49"/>
    </row>
    <row r="28" spans="1:12" x14ac:dyDescent="0.25">
      <c r="A28" s="49"/>
      <c r="B28" s="810" t="s">
        <v>311</v>
      </c>
      <c r="C28" s="567"/>
      <c r="D28" s="567"/>
      <c r="E28" s="567"/>
      <c r="F28" s="573"/>
      <c r="G28" s="49"/>
      <c r="H28" s="49"/>
      <c r="I28" s="49"/>
      <c r="J28" s="49"/>
      <c r="K28" s="49"/>
      <c r="L28" s="49"/>
    </row>
    <row r="29" spans="1:12" x14ac:dyDescent="0.25">
      <c r="A29" s="49"/>
      <c r="B29" s="810" t="s">
        <v>312</v>
      </c>
      <c r="C29" s="567"/>
      <c r="D29" s="567"/>
      <c r="E29" s="567"/>
      <c r="F29" s="573"/>
      <c r="G29" s="49"/>
      <c r="H29" s="49"/>
      <c r="I29" s="49"/>
      <c r="J29" s="49"/>
      <c r="K29" s="49"/>
      <c r="L29" s="49"/>
    </row>
    <row r="30" spans="1:12" x14ac:dyDescent="0.25">
      <c r="A30" s="49"/>
      <c r="B30" s="810" t="s">
        <v>313</v>
      </c>
      <c r="C30" s="567"/>
      <c r="D30" s="567"/>
      <c r="E30" s="567"/>
      <c r="F30" s="573"/>
      <c r="G30" s="49"/>
      <c r="H30" s="49"/>
      <c r="I30" s="49"/>
      <c r="J30" s="49"/>
      <c r="K30" s="49"/>
      <c r="L30" s="49"/>
    </row>
    <row r="31" spans="1:12" x14ac:dyDescent="0.25">
      <c r="A31" s="49"/>
      <c r="B31" s="810" t="s">
        <v>981</v>
      </c>
      <c r="C31" s="567"/>
      <c r="D31" s="567"/>
      <c r="E31" s="567"/>
      <c r="F31" s="573"/>
      <c r="G31" s="49"/>
      <c r="H31" s="49"/>
      <c r="I31" s="49"/>
      <c r="J31" s="49"/>
      <c r="K31" s="49"/>
      <c r="L31" s="49"/>
    </row>
    <row r="32" spans="1:12" x14ac:dyDescent="0.25">
      <c r="A32" s="49"/>
      <c r="B32" s="810" t="s">
        <v>314</v>
      </c>
      <c r="C32" s="567"/>
      <c r="D32" s="567"/>
      <c r="E32" s="567"/>
      <c r="F32" s="573"/>
      <c r="G32" s="49"/>
      <c r="H32" s="49"/>
      <c r="I32" s="49"/>
      <c r="J32" s="49"/>
      <c r="K32" s="49"/>
      <c r="L32" s="49"/>
    </row>
    <row r="33" spans="1:15" x14ac:dyDescent="0.25">
      <c r="A33" s="49"/>
      <c r="B33" s="811" t="s">
        <v>315</v>
      </c>
      <c r="C33" s="575"/>
      <c r="D33" s="575"/>
      <c r="E33" s="575"/>
      <c r="F33" s="576"/>
      <c r="G33" s="49"/>
      <c r="H33" s="49"/>
      <c r="I33" s="49"/>
      <c r="J33" s="49"/>
      <c r="K33" s="49"/>
      <c r="L33" s="49"/>
    </row>
    <row r="34" spans="1:15" x14ac:dyDescent="0.25">
      <c r="A34" s="49"/>
      <c r="B34" s="50"/>
      <c r="C34" s="50"/>
      <c r="D34" s="50"/>
      <c r="E34" s="50"/>
      <c r="F34" s="49"/>
      <c r="G34" s="49"/>
      <c r="H34" s="49"/>
      <c r="I34" s="49"/>
      <c r="J34" s="49"/>
      <c r="K34" s="49"/>
      <c r="L34" s="49"/>
    </row>
    <row r="35" spans="1:15" x14ac:dyDescent="0.25">
      <c r="A35" s="49"/>
      <c r="B35" s="642" t="s">
        <v>1163</v>
      </c>
      <c r="C35" s="50"/>
      <c r="D35" s="50"/>
      <c r="E35" s="50"/>
      <c r="F35" s="49"/>
      <c r="G35" s="49"/>
      <c r="H35" s="49"/>
      <c r="I35" s="49"/>
      <c r="J35" s="49"/>
      <c r="K35" s="49"/>
      <c r="L35" s="49"/>
    </row>
    <row r="36" spans="1:15" x14ac:dyDescent="0.25">
      <c r="A36" s="49"/>
      <c r="B36" s="50"/>
      <c r="C36" s="50"/>
      <c r="D36" s="50"/>
      <c r="E36" s="50"/>
      <c r="F36" s="49"/>
      <c r="G36" s="49"/>
      <c r="H36" s="49"/>
      <c r="I36" s="49"/>
      <c r="J36" s="49"/>
      <c r="K36" s="49"/>
      <c r="L36" s="49"/>
    </row>
    <row r="37" spans="1:15" ht="18" customHeight="1" x14ac:dyDescent="0.25">
      <c r="A37" s="49"/>
      <c r="B37" s="1849" t="s">
        <v>1173</v>
      </c>
      <c r="C37" s="1849"/>
      <c r="D37" s="1849"/>
      <c r="E37" s="1280" t="s">
        <v>124</v>
      </c>
      <c r="F37" s="49"/>
      <c r="G37" s="49"/>
      <c r="H37" s="49"/>
      <c r="I37" s="49"/>
      <c r="J37" s="49"/>
      <c r="K37" s="49"/>
      <c r="L37" s="49"/>
      <c r="M37" s="80" t="b">
        <v>0</v>
      </c>
      <c r="N37" s="80" t="b">
        <v>0</v>
      </c>
    </row>
    <row r="38" spans="1:15" x14ac:dyDescent="0.25">
      <c r="A38" s="49"/>
      <c r="B38" s="50"/>
      <c r="C38" s="50"/>
      <c r="D38" s="50"/>
      <c r="E38" s="50"/>
      <c r="F38" s="49"/>
      <c r="G38" s="49"/>
      <c r="H38" s="49"/>
      <c r="I38" s="49"/>
      <c r="J38" s="49"/>
      <c r="K38" s="49"/>
      <c r="L38" s="49"/>
      <c r="M38" s="38" t="s">
        <v>149</v>
      </c>
      <c r="N38" s="38" t="s">
        <v>328</v>
      </c>
      <c r="O38" s="38" t="s">
        <v>324</v>
      </c>
    </row>
    <row r="39" spans="1:15" ht="15" customHeight="1" x14ac:dyDescent="0.25">
      <c r="A39" s="49"/>
      <c r="B39" s="2197" t="s">
        <v>1506</v>
      </c>
      <c r="C39" s="2198"/>
      <c r="D39" s="2198"/>
      <c r="E39" s="2198"/>
      <c r="F39" s="49"/>
      <c r="G39" s="49"/>
      <c r="H39" s="49"/>
      <c r="I39" s="49"/>
      <c r="J39" s="49"/>
      <c r="K39" s="49"/>
      <c r="L39" s="49"/>
      <c r="M39" s="38" t="s">
        <v>124</v>
      </c>
      <c r="N39" s="38" t="s">
        <v>124</v>
      </c>
      <c r="O39" s="38" t="s">
        <v>124</v>
      </c>
    </row>
    <row r="40" spans="1:15" ht="10.5" customHeight="1" x14ac:dyDescent="0.25">
      <c r="A40" s="49"/>
      <c r="B40" s="661"/>
      <c r="C40" s="662"/>
      <c r="D40" s="662"/>
      <c r="E40" s="662"/>
      <c r="F40" s="49"/>
      <c r="G40" s="49"/>
      <c r="H40" s="49"/>
      <c r="I40" s="49"/>
      <c r="J40" s="49"/>
      <c r="K40" s="49"/>
      <c r="L40" s="49"/>
      <c r="M40" s="38" t="s">
        <v>326</v>
      </c>
      <c r="N40" s="38" t="s">
        <v>327</v>
      </c>
      <c r="O40" s="38" t="s">
        <v>338</v>
      </c>
    </row>
    <row r="41" spans="1:15" ht="16.5" customHeight="1" x14ac:dyDescent="0.25">
      <c r="A41" s="49"/>
      <c r="B41" s="2199" t="s">
        <v>149</v>
      </c>
      <c r="C41" s="2199"/>
      <c r="D41" s="2196"/>
      <c r="E41" s="2196"/>
      <c r="F41" s="49"/>
      <c r="G41" s="49"/>
      <c r="H41" s="49"/>
      <c r="I41" s="49"/>
      <c r="J41" s="49"/>
      <c r="K41" s="49"/>
      <c r="L41" s="49"/>
      <c r="M41" s="38" t="s">
        <v>343</v>
      </c>
      <c r="N41" s="38" t="s">
        <v>329</v>
      </c>
      <c r="O41" s="38" t="s">
        <v>339</v>
      </c>
    </row>
    <row r="42" spans="1:15" ht="16.5" customHeight="1" x14ac:dyDescent="0.25">
      <c r="A42" s="49"/>
      <c r="B42" s="2199" t="s">
        <v>318</v>
      </c>
      <c r="C42" s="2199"/>
      <c r="D42" s="2196" t="s">
        <v>124</v>
      </c>
      <c r="E42" s="2196"/>
      <c r="F42" s="49"/>
      <c r="G42" s="49"/>
      <c r="H42" s="49"/>
      <c r="I42" s="49"/>
      <c r="J42" s="49"/>
      <c r="K42" s="49"/>
      <c r="L42" s="49"/>
      <c r="M42" s="77" t="s">
        <v>344</v>
      </c>
      <c r="N42" s="38" t="s">
        <v>330</v>
      </c>
      <c r="O42" s="38" t="s">
        <v>340</v>
      </c>
    </row>
    <row r="43" spans="1:15" ht="16.5" customHeight="1" x14ac:dyDescent="0.25">
      <c r="A43" s="49"/>
      <c r="B43" s="2199" t="s">
        <v>319</v>
      </c>
      <c r="C43" s="2199"/>
      <c r="D43" s="2196" t="s">
        <v>124</v>
      </c>
      <c r="E43" s="2196"/>
      <c r="F43" s="49"/>
      <c r="G43" s="49"/>
      <c r="H43" s="49"/>
      <c r="I43" s="49"/>
      <c r="J43" s="49"/>
      <c r="K43" s="49"/>
      <c r="L43" s="49"/>
      <c r="M43" s="38" t="s">
        <v>345</v>
      </c>
      <c r="N43" s="38" t="s">
        <v>331</v>
      </c>
      <c r="O43" s="38" t="s">
        <v>342</v>
      </c>
    </row>
    <row r="44" spans="1:15" ht="16.5" customHeight="1" x14ac:dyDescent="0.25">
      <c r="A44" s="49"/>
      <c r="B44" s="2199" t="s">
        <v>320</v>
      </c>
      <c r="C44" s="2199"/>
      <c r="D44" s="2196" t="s">
        <v>124</v>
      </c>
      <c r="E44" s="2196"/>
      <c r="F44" s="49"/>
      <c r="G44" s="49"/>
      <c r="H44" s="49"/>
      <c r="I44" s="49"/>
      <c r="J44" s="49"/>
      <c r="K44" s="49"/>
      <c r="L44" s="49"/>
      <c r="M44" s="38" t="s">
        <v>346</v>
      </c>
      <c r="N44" s="38" t="s">
        <v>332</v>
      </c>
      <c r="O44" s="38" t="s">
        <v>341</v>
      </c>
    </row>
    <row r="45" spans="1:15" ht="16.5" customHeight="1" x14ac:dyDescent="0.25">
      <c r="A45" s="49"/>
      <c r="B45" s="2199" t="s">
        <v>321</v>
      </c>
      <c r="C45" s="2199"/>
      <c r="D45" s="2196" t="s">
        <v>124</v>
      </c>
      <c r="E45" s="2196"/>
      <c r="F45" s="49"/>
      <c r="G45" s="49"/>
      <c r="H45" s="49"/>
      <c r="I45" s="49"/>
      <c r="J45" s="49"/>
      <c r="K45" s="49"/>
      <c r="L45" s="49"/>
      <c r="M45" s="77" t="s">
        <v>347</v>
      </c>
      <c r="N45" s="38" t="s">
        <v>333</v>
      </c>
    </row>
    <row r="46" spans="1:15" ht="16.5" customHeight="1" x14ac:dyDescent="0.25">
      <c r="A46" s="49"/>
      <c r="B46" s="2199" t="s">
        <v>322</v>
      </c>
      <c r="C46" s="2199"/>
      <c r="D46" s="2196" t="s">
        <v>124</v>
      </c>
      <c r="E46" s="2196"/>
      <c r="F46" s="49"/>
      <c r="G46" s="49"/>
      <c r="H46" s="49"/>
      <c r="I46" s="49"/>
      <c r="J46" s="49"/>
      <c r="K46" s="49"/>
      <c r="L46" s="49"/>
      <c r="M46" s="38" t="s">
        <v>348</v>
      </c>
      <c r="N46" s="38" t="s">
        <v>334</v>
      </c>
    </row>
    <row r="47" spans="1:15" ht="16.5" customHeight="1" x14ac:dyDescent="0.25">
      <c r="A47" s="49"/>
      <c r="B47" s="2199" t="s">
        <v>324</v>
      </c>
      <c r="C47" s="2199"/>
      <c r="D47" s="2196" t="s">
        <v>124</v>
      </c>
      <c r="E47" s="2196"/>
      <c r="F47" s="49"/>
      <c r="G47" s="49"/>
      <c r="H47" s="49"/>
      <c r="I47" s="49"/>
      <c r="J47" s="49"/>
      <c r="K47" s="49"/>
      <c r="L47" s="49"/>
      <c r="M47" s="38" t="s">
        <v>349</v>
      </c>
      <c r="N47" s="38" t="s">
        <v>335</v>
      </c>
    </row>
    <row r="48" spans="1:15" ht="36" customHeight="1" x14ac:dyDescent="0.25">
      <c r="A48" s="49"/>
      <c r="B48" s="2199" t="s">
        <v>323</v>
      </c>
      <c r="C48" s="2199"/>
      <c r="D48" s="2201"/>
      <c r="E48" s="2201"/>
      <c r="F48" s="2201"/>
      <c r="G48" s="2201"/>
      <c r="H48" s="2201"/>
      <c r="I48" s="49"/>
      <c r="J48" s="49"/>
      <c r="K48" s="49"/>
      <c r="L48" s="49"/>
      <c r="N48" s="38" t="s">
        <v>336</v>
      </c>
    </row>
    <row r="49" spans="1:14" ht="36" customHeight="1" x14ac:dyDescent="0.25">
      <c r="A49" s="49"/>
      <c r="B49" s="2199" t="s">
        <v>325</v>
      </c>
      <c r="C49" s="2199"/>
      <c r="D49" s="2194"/>
      <c r="E49" s="2195"/>
      <c r="F49" s="2195"/>
      <c r="G49" s="2195"/>
      <c r="H49" s="2195"/>
      <c r="I49" s="49"/>
      <c r="J49" s="49"/>
      <c r="K49" s="49"/>
      <c r="L49" s="49"/>
      <c r="N49" s="38" t="s">
        <v>337</v>
      </c>
    </row>
    <row r="50" spans="1:14" ht="18" customHeight="1" x14ac:dyDescent="0.25">
      <c r="A50" s="49"/>
      <c r="B50" s="50"/>
      <c r="C50" s="50"/>
      <c r="D50" s="50"/>
      <c r="E50" s="50"/>
      <c r="F50" s="49"/>
      <c r="G50" s="49"/>
      <c r="H50" s="49"/>
      <c r="I50" s="49"/>
      <c r="J50" s="49"/>
      <c r="K50" s="49"/>
      <c r="L50" s="49"/>
    </row>
    <row r="51" spans="1:14" ht="18" customHeight="1" x14ac:dyDescent="0.25">
      <c r="A51" s="49"/>
      <c r="B51" s="2169" t="s">
        <v>1505</v>
      </c>
      <c r="C51" s="2169"/>
      <c r="D51" s="79" t="str">
        <f>IF(OR(E38="Yes",AND(COUNTIF(D41:E47,"Select")=0,COUNTBLANK(D48:D49)=0)),"Yes","No")</f>
        <v>No</v>
      </c>
      <c r="E51" s="50"/>
      <c r="F51" s="49"/>
      <c r="G51" s="49"/>
      <c r="H51" s="49"/>
      <c r="I51" s="49"/>
      <c r="J51" s="49"/>
      <c r="K51" s="49"/>
      <c r="L51" s="49"/>
    </row>
    <row r="52" spans="1:14" ht="18" customHeight="1" x14ac:dyDescent="0.25">
      <c r="A52" s="49"/>
      <c r="B52" s="50"/>
      <c r="C52" s="50"/>
      <c r="D52" s="50"/>
      <c r="E52" s="50"/>
      <c r="F52" s="49"/>
      <c r="G52" s="49"/>
      <c r="H52" s="49"/>
      <c r="I52" s="49"/>
      <c r="J52" s="49"/>
      <c r="K52" s="49"/>
      <c r="L52" s="49"/>
    </row>
    <row r="53" spans="1:14" ht="16.5" customHeight="1" x14ac:dyDescent="0.25">
      <c r="A53" s="2166" t="s">
        <v>186</v>
      </c>
      <c r="B53" s="2166"/>
      <c r="C53" s="2166"/>
      <c r="D53" s="50"/>
      <c r="E53" s="50"/>
      <c r="F53" s="49"/>
      <c r="G53" s="49"/>
      <c r="H53" s="49"/>
      <c r="I53" s="49"/>
      <c r="J53" s="49"/>
      <c r="K53" s="49"/>
      <c r="L53" s="49"/>
    </row>
    <row r="54" spans="1:14" x14ac:dyDescent="0.25">
      <c r="A54" s="49"/>
      <c r="B54" s="50"/>
      <c r="C54" s="50"/>
      <c r="D54" s="50"/>
      <c r="E54" s="50"/>
      <c r="F54" s="49"/>
      <c r="G54" s="49"/>
      <c r="H54" s="49"/>
      <c r="I54" s="49"/>
      <c r="J54" s="49"/>
      <c r="K54" s="49"/>
      <c r="L54" s="49"/>
    </row>
    <row r="55" spans="1:14" ht="18" customHeight="1" x14ac:dyDescent="0.25">
      <c r="A55" s="49"/>
      <c r="B55" s="2183" t="s">
        <v>1739</v>
      </c>
      <c r="C55" s="2184"/>
      <c r="D55" s="2184"/>
      <c r="E55" s="2184"/>
      <c r="F55" s="2184"/>
      <c r="G55" s="1100" t="s">
        <v>1737</v>
      </c>
      <c r="H55" s="2185" t="s">
        <v>1738</v>
      </c>
      <c r="I55" s="2186"/>
      <c r="J55" s="49"/>
      <c r="K55" s="49"/>
      <c r="L55" s="49"/>
    </row>
    <row r="56" spans="1:14" ht="24" customHeight="1" x14ac:dyDescent="0.25">
      <c r="A56" s="49"/>
      <c r="B56" s="1576" t="s">
        <v>1159</v>
      </c>
      <c r="C56" s="1577"/>
      <c r="D56" s="1577"/>
      <c r="E56" s="1577"/>
      <c r="F56" s="1578"/>
      <c r="G56" s="471" t="s">
        <v>124</v>
      </c>
      <c r="H56" s="1931"/>
      <c r="I56" s="1932"/>
      <c r="J56" s="49"/>
      <c r="K56" s="49"/>
      <c r="L56" s="49"/>
    </row>
    <row r="57" spans="1:14" ht="24" customHeight="1" x14ac:dyDescent="0.25">
      <c r="A57" s="49"/>
      <c r="B57" s="1576" t="s">
        <v>1160</v>
      </c>
      <c r="C57" s="1577"/>
      <c r="D57" s="1577"/>
      <c r="E57" s="1577"/>
      <c r="F57" s="1578"/>
      <c r="G57" s="471" t="s">
        <v>124</v>
      </c>
      <c r="H57" s="1931"/>
      <c r="I57" s="1932"/>
      <c r="J57" s="49"/>
      <c r="K57" s="49"/>
      <c r="L57" s="49"/>
    </row>
    <row r="58" spans="1:14" x14ac:dyDescent="0.25">
      <c r="A58" s="49"/>
      <c r="B58" s="50"/>
      <c r="C58" s="50"/>
      <c r="D58" s="50"/>
      <c r="E58" s="50"/>
      <c r="F58" s="49"/>
      <c r="G58" s="49"/>
      <c r="H58" s="49"/>
      <c r="I58" s="78"/>
      <c r="J58" s="49"/>
      <c r="K58" s="49"/>
      <c r="L58" s="49"/>
    </row>
    <row r="59" spans="1:14" ht="16.5" customHeight="1" x14ac:dyDescent="0.25">
      <c r="A59" s="2166" t="s">
        <v>22</v>
      </c>
      <c r="B59" s="2166"/>
      <c r="C59" s="2166"/>
      <c r="D59" s="50"/>
      <c r="E59" s="50"/>
      <c r="F59" s="50"/>
      <c r="G59" s="50"/>
      <c r="H59" s="50"/>
      <c r="I59" s="50"/>
      <c r="J59" s="49"/>
      <c r="K59" s="49"/>
      <c r="L59" s="49"/>
    </row>
    <row r="60" spans="1:14" x14ac:dyDescent="0.25">
      <c r="A60" s="49"/>
      <c r="B60" s="50"/>
      <c r="C60" s="50"/>
      <c r="D60" s="50"/>
      <c r="E60" s="50"/>
      <c r="F60" s="49"/>
      <c r="G60" s="49"/>
      <c r="H60" s="49"/>
      <c r="I60" s="49"/>
      <c r="J60" s="49"/>
      <c r="K60" s="49"/>
      <c r="L60" s="49"/>
    </row>
    <row r="61" spans="1:14" ht="18" customHeight="1" x14ac:dyDescent="0.25">
      <c r="A61" s="49"/>
      <c r="B61" s="219" t="s">
        <v>53</v>
      </c>
      <c r="C61" s="1335">
        <f>IF(OR(M37=TRUE,AND(COUNTIF(D41:E47,"Select")=0,COUNTBLANK(D41:D49)=0)),1,0)</f>
        <v>0</v>
      </c>
      <c r="D61" s="50"/>
      <c r="E61" s="49"/>
      <c r="F61" s="49"/>
      <c r="G61" s="49"/>
      <c r="H61" s="49"/>
      <c r="I61" s="49"/>
      <c r="J61" s="49"/>
      <c r="K61" s="49"/>
      <c r="L61" s="49"/>
    </row>
    <row r="62" spans="1:14" ht="18" customHeight="1" x14ac:dyDescent="0.25">
      <c r="A62" s="49"/>
      <c r="B62" s="245" t="s">
        <v>492</v>
      </c>
      <c r="C62" s="1335" t="str">
        <f>IF(AND(COUNTIF(G56:G57,"Submitted")=2,C61&gt;0),"Yes","No")</f>
        <v>No</v>
      </c>
      <c r="D62" s="50"/>
      <c r="E62" s="50"/>
      <c r="F62" s="49"/>
      <c r="G62" s="49"/>
      <c r="H62" s="49"/>
      <c r="I62" s="49"/>
      <c r="J62" s="49"/>
      <c r="K62" s="49"/>
      <c r="L62" s="49"/>
    </row>
    <row r="63" spans="1:14" ht="12" customHeight="1" x14ac:dyDescent="0.25">
      <c r="A63" s="49"/>
      <c r="B63" s="49"/>
      <c r="C63" s="49"/>
      <c r="D63" s="49"/>
      <c r="E63" s="50"/>
      <c r="F63" s="49"/>
      <c r="G63" s="49"/>
      <c r="H63" s="49"/>
      <c r="I63" s="49"/>
      <c r="J63" s="49"/>
      <c r="K63" s="49"/>
      <c r="L63" s="49"/>
    </row>
    <row r="64" spans="1:14" ht="12" customHeight="1" x14ac:dyDescent="0.25">
      <c r="A64" s="49"/>
      <c r="B64" s="50"/>
      <c r="C64" s="50"/>
      <c r="D64" s="50"/>
      <c r="E64" s="50"/>
      <c r="F64" s="49"/>
      <c r="G64" s="49"/>
      <c r="H64" s="49"/>
      <c r="I64" s="49"/>
      <c r="J64" s="49"/>
      <c r="K64" s="49"/>
      <c r="L64" s="49"/>
    </row>
    <row r="65" spans="1:12" ht="18" customHeight="1" x14ac:dyDescent="0.25">
      <c r="A65" s="2180" t="s">
        <v>304</v>
      </c>
      <c r="B65" s="2180"/>
      <c r="C65" s="2180"/>
      <c r="D65" s="2180"/>
      <c r="E65" s="2180"/>
      <c r="F65" s="2180"/>
      <c r="G65" s="2180"/>
      <c r="H65" s="2180"/>
      <c r="I65" s="2180"/>
      <c r="J65" s="2180"/>
      <c r="K65" s="2180"/>
      <c r="L65" s="2180"/>
    </row>
    <row r="66" spans="1:12" x14ac:dyDescent="0.25">
      <c r="A66" s="49"/>
      <c r="B66" s="50"/>
      <c r="C66" s="50"/>
      <c r="D66" s="50"/>
      <c r="E66" s="50"/>
      <c r="F66" s="49"/>
      <c r="G66" s="49"/>
      <c r="H66" s="49"/>
      <c r="I66" s="49"/>
      <c r="J66" s="49"/>
      <c r="K66" s="49"/>
      <c r="L66" s="49"/>
    </row>
    <row r="67" spans="1:12" ht="16.5" customHeight="1" x14ac:dyDescent="0.25">
      <c r="A67" s="2166" t="s">
        <v>245</v>
      </c>
      <c r="B67" s="2166"/>
      <c r="C67" s="2166"/>
      <c r="D67" s="50"/>
      <c r="E67" s="50"/>
      <c r="F67" s="49"/>
      <c r="G67" s="49"/>
      <c r="H67" s="49"/>
      <c r="I67" s="49"/>
      <c r="J67" s="49"/>
      <c r="K67" s="49"/>
      <c r="L67" s="49"/>
    </row>
    <row r="68" spans="1:12" x14ac:dyDescent="0.25">
      <c r="A68" s="49"/>
      <c r="B68" s="50"/>
      <c r="C68" s="50"/>
      <c r="D68" s="50"/>
      <c r="E68" s="50"/>
      <c r="F68" s="49"/>
      <c r="G68" s="49"/>
      <c r="H68" s="49"/>
      <c r="I68" s="49"/>
      <c r="J68" s="49"/>
      <c r="K68" s="49"/>
      <c r="L68" s="49"/>
    </row>
    <row r="69" spans="1:12" x14ac:dyDescent="0.25">
      <c r="A69" s="49"/>
      <c r="B69" s="664" t="s">
        <v>1658</v>
      </c>
      <c r="C69" s="50"/>
      <c r="D69" s="50"/>
      <c r="E69" s="50"/>
      <c r="F69" s="49"/>
      <c r="G69" s="49"/>
      <c r="H69" s="49"/>
      <c r="I69" s="49"/>
      <c r="J69" s="49"/>
      <c r="K69" s="49"/>
      <c r="L69" s="49"/>
    </row>
    <row r="70" spans="1:12" x14ac:dyDescent="0.25">
      <c r="A70" s="49"/>
      <c r="B70" s="50"/>
      <c r="C70" s="50"/>
      <c r="D70" s="50"/>
      <c r="E70" s="50"/>
      <c r="F70" s="49"/>
      <c r="G70" s="49"/>
      <c r="H70" s="49"/>
      <c r="I70" s="49"/>
      <c r="J70" s="49"/>
      <c r="K70" s="49"/>
      <c r="L70" s="49"/>
    </row>
    <row r="71" spans="1:12" ht="16.5" customHeight="1" x14ac:dyDescent="0.25">
      <c r="A71" s="2166" t="s">
        <v>23</v>
      </c>
      <c r="B71" s="2166"/>
      <c r="C71" s="2166"/>
      <c r="D71" s="50"/>
      <c r="E71" s="50"/>
      <c r="F71" s="49"/>
      <c r="G71" s="49"/>
      <c r="H71" s="49"/>
      <c r="I71" s="49"/>
      <c r="J71" s="49"/>
      <c r="K71" s="49"/>
      <c r="L71" s="49"/>
    </row>
    <row r="72" spans="1:12" ht="12" customHeight="1" x14ac:dyDescent="0.25">
      <c r="A72" s="49"/>
      <c r="B72" s="50"/>
      <c r="C72" s="50"/>
      <c r="D72" s="50"/>
      <c r="E72" s="50"/>
      <c r="F72" s="49"/>
      <c r="G72" s="49"/>
      <c r="H72" s="49"/>
      <c r="I72" s="49"/>
      <c r="J72" s="49"/>
      <c r="K72" s="49"/>
      <c r="L72" s="49"/>
    </row>
    <row r="73" spans="1:12" ht="12" customHeight="1" x14ac:dyDescent="0.25">
      <c r="A73" s="49"/>
      <c r="B73" s="642" t="s">
        <v>1654</v>
      </c>
      <c r="C73" s="50"/>
      <c r="D73" s="50"/>
      <c r="E73" s="50"/>
      <c r="F73" s="49"/>
      <c r="G73" s="49"/>
      <c r="H73" s="49"/>
      <c r="I73" s="49"/>
      <c r="J73" s="49"/>
      <c r="K73" s="49"/>
      <c r="L73" s="49"/>
    </row>
    <row r="74" spans="1:12" ht="12" customHeight="1" x14ac:dyDescent="0.25">
      <c r="A74" s="49"/>
      <c r="B74" s="50"/>
      <c r="C74" s="50"/>
      <c r="D74" s="50"/>
      <c r="E74" s="50"/>
      <c r="F74" s="49"/>
      <c r="G74" s="49"/>
      <c r="H74" s="49"/>
      <c r="I74" s="49"/>
      <c r="J74" s="49"/>
      <c r="K74" s="49"/>
      <c r="L74" s="49"/>
    </row>
    <row r="75" spans="1:12" ht="18" customHeight="1" x14ac:dyDescent="0.25">
      <c r="A75" s="49"/>
      <c r="B75" s="2200" t="s">
        <v>148</v>
      </c>
      <c r="C75" s="2200"/>
      <c r="D75" s="168"/>
      <c r="E75" s="908" t="str">
        <f>IF(D75="","",IF(D75&lt;&gt;'Project information'!C23,"This value doesn't match with value in Project Information sheet",""))</f>
        <v/>
      </c>
      <c r="F75" s="49"/>
      <c r="G75" s="49"/>
      <c r="H75" s="49"/>
      <c r="I75" s="49"/>
      <c r="J75" s="49"/>
      <c r="K75" s="49"/>
      <c r="L75" s="49"/>
    </row>
    <row r="76" spans="1:12" ht="18" customHeight="1" x14ac:dyDescent="0.25">
      <c r="A76" s="49"/>
      <c r="B76" s="2200" t="s">
        <v>291</v>
      </c>
      <c r="C76" s="2200"/>
      <c r="D76" s="168"/>
      <c r="E76" s="908" t="str">
        <f>IF(D76="","",IF(D76&lt;&gt;'Project information'!C24,"This value doesn't match with value in Project Information sheet",""))</f>
        <v/>
      </c>
      <c r="F76" s="49"/>
      <c r="G76" s="49"/>
      <c r="H76" s="49"/>
      <c r="I76" s="49"/>
      <c r="J76" s="49"/>
      <c r="K76" s="49"/>
      <c r="L76" s="49"/>
    </row>
    <row r="77" spans="1:12" ht="18" customHeight="1" x14ac:dyDescent="0.25">
      <c r="A77" s="49"/>
      <c r="B77" s="2200" t="s">
        <v>1657</v>
      </c>
      <c r="C77" s="2200"/>
      <c r="D77" s="168"/>
      <c r="E77" s="908"/>
      <c r="F77" s="49"/>
      <c r="G77" s="49"/>
      <c r="H77" s="49"/>
      <c r="I77" s="49"/>
      <c r="J77" s="49"/>
      <c r="K77" s="49"/>
      <c r="L77" s="49"/>
    </row>
    <row r="78" spans="1:12" x14ac:dyDescent="0.25">
      <c r="A78" s="49"/>
      <c r="B78" s="50"/>
      <c r="C78" s="50"/>
      <c r="D78" s="50"/>
      <c r="E78" s="50"/>
      <c r="F78" s="49"/>
      <c r="G78" s="49"/>
      <c r="H78" s="49"/>
      <c r="I78" s="49"/>
      <c r="J78" s="49"/>
      <c r="K78" s="49"/>
      <c r="L78" s="49"/>
    </row>
    <row r="79" spans="1:12" ht="18.75" customHeight="1" x14ac:dyDescent="0.25">
      <c r="A79" s="49"/>
      <c r="B79" s="2169" t="s">
        <v>1659</v>
      </c>
      <c r="C79" s="2169"/>
      <c r="D79" s="79" t="str">
        <f>IFERROR((D75-D77-D76)/D75,"")</f>
        <v/>
      </c>
      <c r="E79" s="69"/>
      <c r="F79" s="49"/>
      <c r="G79" s="49"/>
      <c r="H79" s="49"/>
      <c r="I79" s="49"/>
      <c r="J79" s="49"/>
      <c r="K79" s="49"/>
      <c r="L79" s="49"/>
    </row>
    <row r="80" spans="1:12" x14ac:dyDescent="0.25">
      <c r="A80" s="49"/>
      <c r="B80" s="50"/>
      <c r="C80" s="50"/>
      <c r="D80" s="50"/>
      <c r="E80" s="50"/>
      <c r="F80" s="49"/>
      <c r="G80" s="49"/>
      <c r="H80" s="49"/>
      <c r="I80" s="49"/>
      <c r="J80" s="49"/>
      <c r="K80" s="49"/>
      <c r="L80" s="49"/>
    </row>
    <row r="81" spans="1:12" ht="16.5" customHeight="1" x14ac:dyDescent="0.25">
      <c r="A81" s="2166" t="s">
        <v>186</v>
      </c>
      <c r="B81" s="2166"/>
      <c r="C81" s="2166"/>
      <c r="D81" s="50"/>
      <c r="E81" s="50"/>
      <c r="F81" s="49"/>
      <c r="G81" s="49"/>
      <c r="H81" s="49"/>
      <c r="I81" s="49"/>
      <c r="J81" s="49"/>
      <c r="K81" s="49"/>
      <c r="L81" s="49"/>
    </row>
    <row r="82" spans="1:12" x14ac:dyDescent="0.25">
      <c r="A82" s="49"/>
      <c r="B82" s="50"/>
      <c r="C82" s="50"/>
      <c r="D82" s="50"/>
      <c r="E82" s="50"/>
      <c r="F82" s="49"/>
      <c r="G82" s="49"/>
      <c r="H82" s="49"/>
      <c r="I82" s="49"/>
      <c r="J82" s="49"/>
      <c r="K82" s="49"/>
      <c r="L82" s="49"/>
    </row>
    <row r="83" spans="1:12" ht="18" customHeight="1" x14ac:dyDescent="0.25">
      <c r="A83" s="49"/>
      <c r="B83" s="2183" t="s">
        <v>1739</v>
      </c>
      <c r="C83" s="2184"/>
      <c r="D83" s="2184"/>
      <c r="E83" s="2184"/>
      <c r="F83" s="2184"/>
      <c r="G83" s="1175" t="s">
        <v>1737</v>
      </c>
      <c r="H83" s="2185" t="s">
        <v>1738</v>
      </c>
      <c r="I83" s="2186"/>
      <c r="J83" s="49"/>
      <c r="K83" s="49"/>
      <c r="L83" s="49"/>
    </row>
    <row r="84" spans="1:12" ht="24" customHeight="1" x14ac:dyDescent="0.25">
      <c r="A84" s="49"/>
      <c r="B84" s="1576" t="s">
        <v>1660</v>
      </c>
      <c r="C84" s="1577"/>
      <c r="D84" s="1577"/>
      <c r="E84" s="1577"/>
      <c r="F84" s="1578"/>
      <c r="G84" s="471" t="s">
        <v>124</v>
      </c>
      <c r="H84" s="1931"/>
      <c r="I84" s="1932"/>
      <c r="J84" s="49"/>
      <c r="K84" s="49"/>
      <c r="L84" s="49"/>
    </row>
    <row r="85" spans="1:12" ht="24" customHeight="1" x14ac:dyDescent="0.25">
      <c r="A85" s="49"/>
      <c r="B85" s="1576" t="s">
        <v>1158</v>
      </c>
      <c r="C85" s="1577"/>
      <c r="D85" s="1577"/>
      <c r="E85" s="1577"/>
      <c r="F85" s="1578"/>
      <c r="G85" s="471" t="s">
        <v>124</v>
      </c>
      <c r="H85" s="1931"/>
      <c r="I85" s="1932"/>
      <c r="J85" s="49"/>
      <c r="K85" s="49"/>
      <c r="L85" s="49"/>
    </row>
    <row r="86" spans="1:12" x14ac:dyDescent="0.25">
      <c r="A86" s="49"/>
      <c r="B86" s="50"/>
      <c r="C86" s="50"/>
      <c r="D86" s="50"/>
      <c r="E86" s="50"/>
      <c r="F86" s="49"/>
      <c r="G86" s="49"/>
      <c r="H86" s="49"/>
      <c r="I86" s="78"/>
      <c r="J86" s="49"/>
      <c r="K86" s="49"/>
      <c r="L86" s="49"/>
    </row>
    <row r="87" spans="1:12" ht="16.5" customHeight="1" x14ac:dyDescent="0.25">
      <c r="A87" s="2166" t="s">
        <v>22</v>
      </c>
      <c r="B87" s="2166"/>
      <c r="C87" s="2166"/>
      <c r="D87" s="50"/>
      <c r="E87" s="50"/>
      <c r="F87" s="50"/>
      <c r="G87" s="50"/>
      <c r="H87" s="50"/>
      <c r="I87" s="50"/>
      <c r="J87" s="49"/>
      <c r="K87" s="49"/>
      <c r="L87" s="49"/>
    </row>
    <row r="88" spans="1:12" x14ac:dyDescent="0.25">
      <c r="A88" s="49"/>
      <c r="B88" s="50"/>
      <c r="C88" s="50"/>
      <c r="D88" s="50"/>
      <c r="E88" s="50"/>
      <c r="F88" s="49"/>
      <c r="G88" s="49"/>
      <c r="H88" s="49"/>
      <c r="I88" s="49"/>
      <c r="J88" s="49"/>
      <c r="K88" s="49"/>
      <c r="L88" s="49"/>
    </row>
    <row r="89" spans="1:12" ht="18" customHeight="1" x14ac:dyDescent="0.25">
      <c r="A89" s="49"/>
      <c r="B89" s="219" t="s">
        <v>53</v>
      </c>
      <c r="C89" s="1335">
        <f>IF(D79="",0,IF(D79&gt;=0.2,1,0))</f>
        <v>0</v>
      </c>
      <c r="D89" s="50"/>
      <c r="E89" s="49"/>
      <c r="F89" s="49"/>
      <c r="G89" s="49"/>
      <c r="H89" s="49"/>
      <c r="I89" s="49"/>
      <c r="J89" s="49"/>
      <c r="K89" s="49"/>
      <c r="L89" s="49"/>
    </row>
    <row r="90" spans="1:12" ht="18" customHeight="1" x14ac:dyDescent="0.25">
      <c r="A90" s="49"/>
      <c r="B90" s="245" t="s">
        <v>492</v>
      </c>
      <c r="C90" s="1335" t="str">
        <f>IF(AND(COUNTIF(G84:G85,"Submitted")=2,C89&gt;0),"Yes","No")</f>
        <v>No</v>
      </c>
      <c r="D90" s="50"/>
      <c r="E90" s="50"/>
      <c r="F90" s="49"/>
      <c r="G90" s="49"/>
      <c r="H90" s="49"/>
      <c r="I90" s="49"/>
      <c r="J90" s="49"/>
      <c r="K90" s="49"/>
      <c r="L90" s="49"/>
    </row>
    <row r="91" spans="1:12" x14ac:dyDescent="0.25">
      <c r="A91" s="49"/>
      <c r="B91" s="50"/>
      <c r="C91" s="50"/>
      <c r="D91" s="50"/>
      <c r="E91" s="50"/>
      <c r="F91" s="49"/>
      <c r="G91" s="49"/>
      <c r="H91" s="49"/>
      <c r="I91" s="49"/>
      <c r="J91" s="49"/>
      <c r="K91" s="49"/>
      <c r="L91" s="49"/>
    </row>
    <row r="92" spans="1:12" hidden="1" x14ac:dyDescent="0.25"/>
    <row r="93" spans="1:12" hidden="1" x14ac:dyDescent="0.25"/>
    <row r="94" spans="1:12" hidden="1" x14ac:dyDescent="0.25"/>
    <row r="95" spans="1:12" hidden="1" x14ac:dyDescent="0.25"/>
    <row r="96" spans="1:12" hidden="1" x14ac:dyDescent="0.25"/>
  </sheetData>
  <sheetProtection algorithmName="SHA-512" hashValue="Nfr5k+/8DCHQaTeWNpvmx1ljzgYThRPxawe9wyl+GvlKGsEEH0igfvn6XfF80ufdibRnspjHz/pl5/5XVoMqYA==" saltValue="lp1GXBsyU2i5k847yx3K+Q==" spinCount="100000" sheet="1" objects="1" scenarios="1"/>
  <mergeCells count="54">
    <mergeCell ref="A1:L1"/>
    <mergeCell ref="D48:H48"/>
    <mergeCell ref="A5:L7"/>
    <mergeCell ref="B47:C47"/>
    <mergeCell ref="D42:E42"/>
    <mergeCell ref="D47:E47"/>
    <mergeCell ref="B42:C42"/>
    <mergeCell ref="B43:C43"/>
    <mergeCell ref="B44:C44"/>
    <mergeCell ref="B45:C45"/>
    <mergeCell ref="B46:C46"/>
    <mergeCell ref="B48:C48"/>
    <mergeCell ref="D43:E43"/>
    <mergeCell ref="D44:E44"/>
    <mergeCell ref="D45:E45"/>
    <mergeCell ref="B41:C41"/>
    <mergeCell ref="A16:L16"/>
    <mergeCell ref="A87:C87"/>
    <mergeCell ref="A81:C81"/>
    <mergeCell ref="B84:F84"/>
    <mergeCell ref="B85:F85"/>
    <mergeCell ref="B56:F56"/>
    <mergeCell ref="B57:F57"/>
    <mergeCell ref="B77:C77"/>
    <mergeCell ref="B83:F83"/>
    <mergeCell ref="B75:C75"/>
    <mergeCell ref="B76:C76"/>
    <mergeCell ref="B79:C79"/>
    <mergeCell ref="A67:C67"/>
    <mergeCell ref="A65:L65"/>
    <mergeCell ref="H84:I84"/>
    <mergeCell ref="H85:I85"/>
    <mergeCell ref="A71:C71"/>
    <mergeCell ref="A59:C59"/>
    <mergeCell ref="B55:F55"/>
    <mergeCell ref="H83:I83"/>
    <mergeCell ref="B49:C49"/>
    <mergeCell ref="B51:C51"/>
    <mergeCell ref="G2:I4"/>
    <mergeCell ref="D49:H49"/>
    <mergeCell ref="H55:I55"/>
    <mergeCell ref="H56:I56"/>
    <mergeCell ref="H57:I57"/>
    <mergeCell ref="A9:L9"/>
    <mergeCell ref="A53:C53"/>
    <mergeCell ref="D46:E46"/>
    <mergeCell ref="B12:E12"/>
    <mergeCell ref="B11:E11"/>
    <mergeCell ref="B13:E13"/>
    <mergeCell ref="B14:E14"/>
    <mergeCell ref="D41:E41"/>
    <mergeCell ref="B37:D37"/>
    <mergeCell ref="B39:E39"/>
    <mergeCell ref="A18:C18"/>
  </mergeCells>
  <conditionalFormatting sqref="G56">
    <cfRule type="expression" dxfId="80" priority="7">
      <formula>#REF!&lt;&gt;"Prescriptive Path"</formula>
    </cfRule>
  </conditionalFormatting>
  <conditionalFormatting sqref="G57">
    <cfRule type="expression" dxfId="79" priority="6">
      <formula>#REF!&lt;&gt;"Prescriptive Path"</formula>
    </cfRule>
  </conditionalFormatting>
  <conditionalFormatting sqref="G84:G85">
    <cfRule type="expression" dxfId="78" priority="5">
      <formula>#REF!&lt;&gt;"Prescriptive Path"</formula>
    </cfRule>
  </conditionalFormatting>
  <conditionalFormatting sqref="H55:I55">
    <cfRule type="expression" dxfId="77" priority="4">
      <formula>#REF!&lt;&gt;"Prescriptive Path"</formula>
    </cfRule>
  </conditionalFormatting>
  <conditionalFormatting sqref="H56:H57">
    <cfRule type="expression" dxfId="76" priority="3">
      <formula>#REF!&lt;&gt;"Prescriptive Path"</formula>
    </cfRule>
  </conditionalFormatting>
  <conditionalFormatting sqref="H83:I83">
    <cfRule type="expression" dxfId="75" priority="2">
      <formula>#REF!&lt;&gt;"Prescriptive Path"</formula>
    </cfRule>
  </conditionalFormatting>
  <conditionalFormatting sqref="H84:H85">
    <cfRule type="expression" dxfId="74" priority="1">
      <formula>#REF!&lt;&gt;"Prescriptive Path"</formula>
    </cfRule>
  </conditionalFormatting>
  <dataValidations count="7">
    <dataValidation allowBlank="1" showInputMessage="1" showErrorMessage="1" prompt="Insert area in m2" sqref="D41:E41" xr:uid="{00000000-0002-0000-2A00-000000000000}"/>
    <dataValidation allowBlank="1" showInputMessage="1" showErrorMessage="1" prompt="Free text" sqref="D48:D49" xr:uid="{00000000-0002-0000-2A00-000001000000}"/>
    <dataValidation type="list" allowBlank="1" showInputMessage="1" showErrorMessage="1" sqref="G56:G57 G84:G85" xr:uid="{00000000-0002-0000-2A00-000002000000}">
      <formula1>"Submitted,Not submitted"</formula1>
    </dataValidation>
    <dataValidation type="list" allowBlank="1" showInputMessage="1" showErrorMessage="1" prompt="Select" sqref="D47:E47" xr:uid="{00000000-0002-0000-2A00-000003000000}">
      <formula1>$O$39:$O$44</formula1>
    </dataValidation>
    <dataValidation type="list" allowBlank="1" showInputMessage="1" showErrorMessage="1" prompt="Select" sqref="D42:E42" xr:uid="{00000000-0002-0000-2A00-000004000000}">
      <formula1>$M$39:$M$47</formula1>
    </dataValidation>
    <dataValidation type="list" allowBlank="1" showInputMessage="1" showErrorMessage="1" prompt="Select" sqref="D43:E46" xr:uid="{00000000-0002-0000-2A00-000005000000}">
      <formula1>$N$39:$N$49</formula1>
    </dataValidation>
    <dataValidation type="list" allowBlank="1" showInputMessage="1" showErrorMessage="1" sqref="E37" xr:uid="{00000000-0002-0000-2A00-000006000000}">
      <formula1>"Select,Yes,No"</formula1>
    </dataValidation>
  </dataValidations>
  <hyperlinks>
    <hyperlink ref="K4" location="'LE-4 Heat Island Effect'!E3" tooltip="LE-4" display="LE-4" xr:uid="{00000000-0004-0000-2A00-000000000000}"/>
    <hyperlink ref="J3" location="'LE-3 Vegetation'!D3" tooltip="LE-3" display="LE-3" xr:uid="{00000000-0004-0000-2A00-000001000000}"/>
    <hyperlink ref="J4" location="'LE-4 Heat Island Effect'!D3" tooltip="LE-4" display="LE-4" xr:uid="{00000000-0004-0000-2A00-000002000000}"/>
    <hyperlink ref="J2" location="'LE-1 Site Selection'!B3" tooltip="LE-1" display="LE-1" xr:uid="{00000000-0004-0000-2A00-000003000000}"/>
    <hyperlink ref="L3" location="'LE-8 Recycling Storage Area'!B3" tooltip="LE-8" display="LE-8" xr:uid="{00000000-0004-0000-2A00-000004000000}"/>
    <hyperlink ref="K2" location="'LE-5 Storm Water Runoff'!B3" tooltip="LE-5" display="LE-5" xr:uid="{00000000-0004-0000-2A00-000005000000}"/>
    <hyperlink ref="K3" location="'LE-6 Flood Risk Mitigation'!E3" tooltip="LE-6" display="LE-6" xr:uid="{00000000-0004-0000-2A00-000006000000}"/>
  </hyperlinks>
  <pageMargins left="0.7" right="0.7" top="0.75" bottom="0.75" header="0.3" footer="0.3"/>
  <pageSetup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76923C"/>
  </sheetPr>
  <dimension ref="A1:O109"/>
  <sheetViews>
    <sheetView showRowColHeaders="0" workbookViewId="0">
      <pane ySplit="8" topLeftCell="A9" activePane="bottomLeft" state="frozen"/>
      <selection activeCell="M21" sqref="M21"/>
      <selection pane="bottomLeft" activeCell="J3" sqref="J3"/>
    </sheetView>
  </sheetViews>
  <sheetFormatPr defaultColWidth="0" defaultRowHeight="15" zeroHeight="1" x14ac:dyDescent="0.25"/>
  <cols>
    <col min="1" max="1" width="4.85546875" style="38" customWidth="1"/>
    <col min="2" max="7" width="18.42578125" style="38" customWidth="1"/>
    <col min="8" max="8" width="18.85546875" style="38" customWidth="1"/>
    <col min="9" max="11" width="8.7109375" style="38" customWidth="1"/>
    <col min="12" max="16384" width="9.140625" style="38" hidden="1"/>
  </cols>
  <sheetData>
    <row r="1" spans="1:11" ht="24" customHeight="1" x14ac:dyDescent="0.25">
      <c r="A1" s="1348" t="s">
        <v>4</v>
      </c>
      <c r="B1" s="1348"/>
      <c r="C1" s="1348"/>
      <c r="D1" s="1348"/>
      <c r="E1" s="1348"/>
      <c r="F1" s="1348"/>
      <c r="G1" s="1348"/>
      <c r="H1" s="1348"/>
      <c r="I1" s="1348"/>
      <c r="J1" s="1348"/>
      <c r="K1" s="1348"/>
    </row>
    <row r="2" spans="1:11" ht="15" customHeight="1" x14ac:dyDescent="0.25">
      <c r="A2" s="49"/>
      <c r="B2" s="50"/>
      <c r="C2" s="50"/>
      <c r="D2" s="50"/>
      <c r="E2" s="50"/>
      <c r="F2" s="49"/>
      <c r="G2" s="1585" t="s">
        <v>1761</v>
      </c>
      <c r="H2" s="1585"/>
      <c r="I2" s="230" t="s">
        <v>57</v>
      </c>
      <c r="J2" s="230" t="s">
        <v>73</v>
      </c>
      <c r="K2" s="230"/>
    </row>
    <row r="3" spans="1:11" ht="15" customHeight="1" x14ac:dyDescent="0.25">
      <c r="A3" s="49"/>
      <c r="B3" s="50"/>
      <c r="C3" s="50"/>
      <c r="D3" s="50"/>
      <c r="E3" s="50"/>
      <c r="F3" s="49"/>
      <c r="G3" s="1585"/>
      <c r="H3" s="1585"/>
      <c r="I3" s="230" t="s">
        <v>61</v>
      </c>
      <c r="J3" s="230" t="s">
        <v>77</v>
      </c>
      <c r="K3" s="230" t="s">
        <v>155</v>
      </c>
    </row>
    <row r="4" spans="1:11" ht="15" customHeight="1" x14ac:dyDescent="0.25">
      <c r="A4" s="49"/>
      <c r="B4" s="50"/>
      <c r="C4" s="50"/>
      <c r="D4" s="50"/>
      <c r="E4" s="50"/>
      <c r="F4" s="49"/>
      <c r="G4" s="1822"/>
      <c r="H4" s="1822"/>
      <c r="I4" s="230" t="s">
        <v>69</v>
      </c>
      <c r="J4" s="230" t="s">
        <v>126</v>
      </c>
      <c r="K4" s="213"/>
    </row>
    <row r="5" spans="1:11" ht="21" customHeight="1" x14ac:dyDescent="0.25">
      <c r="A5" s="1600" t="s">
        <v>2656</v>
      </c>
      <c r="B5" s="1601"/>
      <c r="C5" s="1601"/>
      <c r="D5" s="1601"/>
      <c r="E5" s="1601"/>
      <c r="F5" s="1601"/>
      <c r="G5" s="1601"/>
      <c r="H5" s="1601"/>
      <c r="I5" s="1601"/>
      <c r="J5" s="1601"/>
      <c r="K5" s="1601"/>
    </row>
    <row r="6" spans="1:11" ht="21" customHeight="1" x14ac:dyDescent="0.25">
      <c r="A6" s="1603"/>
      <c r="B6" s="1604"/>
      <c r="C6" s="1604"/>
      <c r="D6" s="1604"/>
      <c r="E6" s="1604"/>
      <c r="F6" s="1604"/>
      <c r="G6" s="1604"/>
      <c r="H6" s="1604"/>
      <c r="I6" s="1604"/>
      <c r="J6" s="1604"/>
      <c r="K6" s="1604"/>
    </row>
    <row r="7" spans="1:11" ht="21" customHeight="1" x14ac:dyDescent="0.25">
      <c r="A7" s="1606"/>
      <c r="B7" s="1607"/>
      <c r="C7" s="1607"/>
      <c r="D7" s="1607"/>
      <c r="E7" s="1607"/>
      <c r="F7" s="1607"/>
      <c r="G7" s="1607"/>
      <c r="H7" s="1607"/>
      <c r="I7" s="1607"/>
      <c r="J7" s="1607"/>
      <c r="K7" s="1607"/>
    </row>
    <row r="8" spans="1:11" ht="12" customHeight="1" x14ac:dyDescent="0.25">
      <c r="A8" s="49"/>
      <c r="B8" s="50"/>
      <c r="C8" s="50"/>
      <c r="D8" s="50"/>
      <c r="E8" s="50"/>
      <c r="F8" s="49"/>
      <c r="G8" s="49"/>
      <c r="H8" s="49"/>
      <c r="I8" s="49"/>
      <c r="J8" s="49"/>
      <c r="K8" s="49"/>
    </row>
    <row r="9" spans="1:11" ht="18" customHeight="1" x14ac:dyDescent="0.25">
      <c r="A9" s="2180" t="s">
        <v>177</v>
      </c>
      <c r="B9" s="2180"/>
      <c r="C9" s="2180"/>
      <c r="D9" s="2180"/>
      <c r="E9" s="2180"/>
      <c r="F9" s="2180"/>
      <c r="G9" s="2180"/>
      <c r="H9" s="2180"/>
      <c r="I9" s="2180"/>
      <c r="J9" s="2180"/>
      <c r="K9" s="2180"/>
    </row>
    <row r="10" spans="1:11" ht="16.5" customHeight="1" x14ac:dyDescent="0.25">
      <c r="A10" s="49"/>
      <c r="B10" s="50"/>
      <c r="C10" s="50"/>
      <c r="D10" s="50"/>
      <c r="E10" s="50"/>
      <c r="F10" s="49"/>
      <c r="G10" s="49"/>
      <c r="H10" s="49"/>
      <c r="I10" s="49"/>
      <c r="J10" s="49"/>
      <c r="K10" s="49"/>
    </row>
    <row r="11" spans="1:11" ht="19.5" customHeight="1" x14ac:dyDescent="0.25">
      <c r="A11" s="49"/>
      <c r="B11" s="2181" t="s">
        <v>178</v>
      </c>
      <c r="C11" s="2182"/>
      <c r="D11" s="2182"/>
      <c r="E11" s="2182"/>
      <c r="F11" s="640" t="s">
        <v>152</v>
      </c>
      <c r="G11" s="640" t="s">
        <v>53</v>
      </c>
      <c r="H11" s="56" t="s">
        <v>492</v>
      </c>
      <c r="I11" s="49"/>
      <c r="J11" s="49"/>
      <c r="K11" s="49"/>
    </row>
    <row r="12" spans="1:11" ht="39" customHeight="1" x14ac:dyDescent="0.25">
      <c r="A12" s="49"/>
      <c r="B12" s="1611" t="s">
        <v>522</v>
      </c>
      <c r="C12" s="1612"/>
      <c r="D12" s="1612"/>
      <c r="E12" s="2021"/>
      <c r="F12" s="55">
        <v>2</v>
      </c>
      <c r="G12" s="55">
        <f>C56</f>
        <v>0</v>
      </c>
      <c r="H12" s="55" t="str">
        <f>C57</f>
        <v>No</v>
      </c>
      <c r="I12" s="81"/>
      <c r="J12" s="49"/>
      <c r="K12" s="49"/>
    </row>
    <row r="13" spans="1:11" ht="40.5" customHeight="1" x14ac:dyDescent="0.25">
      <c r="A13" s="49"/>
      <c r="B13" s="1611" t="s">
        <v>1571</v>
      </c>
      <c r="C13" s="1612"/>
      <c r="D13" s="1612"/>
      <c r="E13" s="2021"/>
      <c r="F13" s="239">
        <v>2</v>
      </c>
      <c r="G13" s="239">
        <f>C103</f>
        <v>0</v>
      </c>
      <c r="H13" s="239" t="str">
        <f>C104</f>
        <v>No</v>
      </c>
      <c r="I13" s="81"/>
      <c r="J13" s="49"/>
      <c r="K13" s="49"/>
    </row>
    <row r="14" spans="1:11" ht="18" customHeight="1" x14ac:dyDescent="0.25">
      <c r="A14" s="49"/>
      <c r="B14" s="1613" t="s">
        <v>79</v>
      </c>
      <c r="C14" s="1748"/>
      <c r="D14" s="1748"/>
      <c r="E14" s="1748"/>
      <c r="F14" s="631">
        <v>2</v>
      </c>
      <c r="G14" s="631">
        <f>MIN(2,SUM(G12:G13))</f>
        <v>0</v>
      </c>
      <c r="H14" s="631" t="str">
        <f>IF(AND(COUNTIF(H12:H13,"No")=0,COUNTIF(H12:H13,"Yes")&gt;0),"Yes","No")</f>
        <v>No</v>
      </c>
      <c r="I14" s="49"/>
      <c r="J14" s="49"/>
      <c r="K14" s="49"/>
    </row>
    <row r="15" spans="1:11" ht="16.5" customHeight="1" x14ac:dyDescent="0.25">
      <c r="A15" s="49"/>
      <c r="B15" s="248"/>
      <c r="C15" s="249"/>
      <c r="D15" s="50"/>
      <c r="E15" s="50"/>
      <c r="F15" s="49"/>
      <c r="G15" s="49"/>
      <c r="H15" s="49"/>
      <c r="I15" s="49"/>
      <c r="J15" s="49"/>
      <c r="K15" s="49"/>
    </row>
    <row r="16" spans="1:11" ht="17.25" customHeight="1" x14ac:dyDescent="0.25">
      <c r="A16" s="2180" t="s">
        <v>523</v>
      </c>
      <c r="B16" s="2180"/>
      <c r="C16" s="2180"/>
      <c r="D16" s="2180"/>
      <c r="E16" s="2180"/>
      <c r="F16" s="2180"/>
      <c r="G16" s="2180"/>
      <c r="H16" s="2180"/>
      <c r="I16" s="2180"/>
      <c r="J16" s="2180"/>
      <c r="K16" s="2180"/>
    </row>
    <row r="17" spans="1:11" x14ac:dyDescent="0.25">
      <c r="A17" s="49"/>
      <c r="B17" s="248"/>
      <c r="C17" s="249"/>
      <c r="D17" s="50"/>
      <c r="E17" s="50"/>
      <c r="F17" s="49"/>
      <c r="G17" s="49"/>
      <c r="H17" s="49"/>
      <c r="I17" s="49"/>
      <c r="J17" s="49"/>
      <c r="K17" s="49"/>
    </row>
    <row r="18" spans="1:11" ht="16.5" customHeight="1" x14ac:dyDescent="0.25">
      <c r="A18" s="2166" t="s">
        <v>245</v>
      </c>
      <c r="B18" s="2166"/>
      <c r="C18" s="2166"/>
      <c r="D18" s="50"/>
      <c r="E18" s="50"/>
      <c r="F18" s="49"/>
      <c r="G18" s="49"/>
      <c r="H18" s="49"/>
      <c r="I18" s="49"/>
      <c r="J18" s="49"/>
      <c r="K18" s="49"/>
    </row>
    <row r="19" spans="1:11" x14ac:dyDescent="0.25">
      <c r="A19" s="49"/>
      <c r="B19" s="248"/>
      <c r="C19" s="249"/>
      <c r="D19" s="50"/>
      <c r="E19" s="50"/>
      <c r="F19" s="49"/>
      <c r="G19" s="49"/>
      <c r="H19" s="49"/>
      <c r="I19" s="49"/>
      <c r="J19" s="49"/>
      <c r="K19" s="49"/>
    </row>
    <row r="20" spans="1:11" x14ac:dyDescent="0.25">
      <c r="A20" s="49"/>
      <c r="B20" s="664" t="s">
        <v>1147</v>
      </c>
      <c r="C20" s="249"/>
      <c r="D20" s="50"/>
      <c r="E20" s="50"/>
      <c r="F20" s="49"/>
      <c r="G20" s="49"/>
      <c r="H20" s="49"/>
      <c r="I20" s="49"/>
      <c r="J20" s="49"/>
      <c r="K20" s="49"/>
    </row>
    <row r="21" spans="1:11" ht="18" customHeight="1" x14ac:dyDescent="0.25">
      <c r="A21" s="49"/>
      <c r="B21" s="478"/>
      <c r="C21" s="249"/>
      <c r="D21" s="50"/>
      <c r="E21" s="50"/>
      <c r="F21" s="49"/>
      <c r="G21" s="49"/>
      <c r="H21" s="49"/>
      <c r="I21" s="49"/>
      <c r="J21" s="49"/>
      <c r="K21" s="49"/>
    </row>
    <row r="22" spans="1:11" x14ac:dyDescent="0.25">
      <c r="A22" s="49"/>
      <c r="B22" s="674" t="s">
        <v>1419</v>
      </c>
      <c r="C22" s="249"/>
      <c r="D22" s="50"/>
      <c r="E22" s="50"/>
      <c r="F22" s="49"/>
      <c r="G22" s="49"/>
      <c r="H22" s="49"/>
      <c r="I22" s="49"/>
      <c r="J22" s="49"/>
      <c r="K22" s="49"/>
    </row>
    <row r="23" spans="1:11" x14ac:dyDescent="0.25">
      <c r="A23" s="49"/>
      <c r="B23" s="478"/>
      <c r="C23" s="249"/>
      <c r="D23" s="50"/>
      <c r="E23" s="50"/>
      <c r="F23" s="49"/>
      <c r="G23" s="49"/>
      <c r="H23" s="49"/>
      <c r="I23" s="49"/>
      <c r="J23" s="49"/>
      <c r="K23" s="49"/>
    </row>
    <row r="24" spans="1:11" ht="16.5" customHeight="1" x14ac:dyDescent="0.25">
      <c r="A24" s="2166" t="s">
        <v>23</v>
      </c>
      <c r="B24" s="2166"/>
      <c r="C24" s="2166"/>
      <c r="D24" s="49"/>
      <c r="E24" s="49"/>
      <c r="F24" s="49"/>
      <c r="G24" s="49"/>
      <c r="H24" s="49"/>
      <c r="I24" s="49"/>
      <c r="J24" s="49"/>
      <c r="K24" s="49"/>
    </row>
    <row r="25" spans="1:11" x14ac:dyDescent="0.25">
      <c r="A25" s="49"/>
      <c r="B25" s="50"/>
      <c r="C25" s="50"/>
      <c r="D25" s="50"/>
      <c r="E25" s="50"/>
      <c r="F25" s="49"/>
      <c r="G25" s="49"/>
      <c r="H25" s="49"/>
      <c r="I25" s="49"/>
      <c r="J25" s="49"/>
      <c r="K25" s="49"/>
    </row>
    <row r="26" spans="1:11" x14ac:dyDescent="0.25">
      <c r="A26" s="49"/>
      <c r="B26" s="642" t="s">
        <v>1170</v>
      </c>
      <c r="C26" s="50"/>
      <c r="D26" s="50"/>
      <c r="E26" s="50"/>
      <c r="F26" s="49"/>
      <c r="G26" s="49"/>
      <c r="H26" s="49"/>
      <c r="I26" s="49"/>
      <c r="J26" s="49"/>
      <c r="K26" s="49"/>
    </row>
    <row r="27" spans="1:11" ht="9" customHeight="1" x14ac:dyDescent="0.25">
      <c r="A27" s="49"/>
      <c r="B27" s="50"/>
      <c r="C27" s="50"/>
      <c r="D27" s="50"/>
      <c r="E27" s="50"/>
      <c r="F27" s="49"/>
      <c r="G27" s="49"/>
      <c r="H27" s="49"/>
      <c r="I27" s="49"/>
      <c r="J27" s="49"/>
      <c r="K27" s="49"/>
    </row>
    <row r="28" spans="1:11" ht="18" customHeight="1" x14ac:dyDescent="0.25">
      <c r="A28" s="49"/>
      <c r="B28" s="2200" t="s">
        <v>148</v>
      </c>
      <c r="C28" s="2200"/>
      <c r="D28" s="168"/>
      <c r="E28" s="49"/>
      <c r="F28" s="49"/>
      <c r="G28" s="49"/>
      <c r="H28" s="49"/>
      <c r="I28" s="49"/>
      <c r="J28" s="49"/>
      <c r="K28" s="49"/>
    </row>
    <row r="29" spans="1:11" x14ac:dyDescent="0.25">
      <c r="A29" s="49"/>
      <c r="B29" s="50"/>
      <c r="C29" s="50"/>
      <c r="D29" s="50"/>
      <c r="E29" s="49"/>
      <c r="F29" s="49"/>
      <c r="G29" s="49"/>
      <c r="H29" s="49"/>
      <c r="I29" s="49"/>
      <c r="J29" s="49"/>
      <c r="K29" s="49"/>
    </row>
    <row r="30" spans="1:11" ht="18" customHeight="1" x14ac:dyDescent="0.25">
      <c r="A30" s="49"/>
      <c r="B30" s="2207" t="s">
        <v>147</v>
      </c>
      <c r="C30" s="2207"/>
      <c r="D30" s="8" t="s">
        <v>40</v>
      </c>
      <c r="E30" s="49"/>
      <c r="F30" s="49"/>
      <c r="G30" s="49"/>
      <c r="H30" s="49"/>
      <c r="I30" s="49"/>
      <c r="J30" s="49"/>
      <c r="K30" s="49"/>
    </row>
    <row r="31" spans="1:11" x14ac:dyDescent="0.25">
      <c r="A31" s="49"/>
      <c r="B31" s="1637"/>
      <c r="C31" s="1637"/>
      <c r="D31" s="784"/>
      <c r="E31" s="49"/>
      <c r="F31" s="49"/>
      <c r="G31" s="49"/>
      <c r="H31" s="49"/>
      <c r="I31" s="49"/>
      <c r="J31" s="49"/>
      <c r="K31" s="49"/>
    </row>
    <row r="32" spans="1:11" x14ac:dyDescent="0.25">
      <c r="A32" s="49"/>
      <c r="B32" s="1637"/>
      <c r="C32" s="1637"/>
      <c r="D32" s="168"/>
      <c r="E32" s="49"/>
      <c r="F32" s="49"/>
      <c r="G32" s="49"/>
      <c r="H32" s="49"/>
      <c r="I32" s="49"/>
      <c r="J32" s="49"/>
      <c r="K32" s="49"/>
    </row>
    <row r="33" spans="1:11" x14ac:dyDescent="0.25">
      <c r="A33" s="49"/>
      <c r="B33" s="1637"/>
      <c r="C33" s="1637"/>
      <c r="D33" s="168"/>
      <c r="E33" s="49"/>
      <c r="F33" s="49"/>
      <c r="G33" s="49"/>
      <c r="H33" s="49"/>
      <c r="I33" s="49"/>
      <c r="J33" s="49"/>
      <c r="K33" s="49"/>
    </row>
    <row r="34" spans="1:11" x14ac:dyDescent="0.25">
      <c r="A34" s="49"/>
      <c r="B34" s="1637"/>
      <c r="C34" s="1637"/>
      <c r="D34" s="168"/>
      <c r="E34" s="49"/>
      <c r="F34" s="49"/>
      <c r="G34" s="49"/>
      <c r="H34" s="49"/>
      <c r="I34" s="49"/>
      <c r="J34" s="49"/>
      <c r="K34" s="49"/>
    </row>
    <row r="35" spans="1:11" x14ac:dyDescent="0.25">
      <c r="A35" s="49"/>
      <c r="B35" s="1637"/>
      <c r="C35" s="1637"/>
      <c r="D35" s="168"/>
      <c r="E35" s="49"/>
      <c r="F35" s="49"/>
      <c r="G35" s="49"/>
      <c r="H35" s="49"/>
      <c r="I35" s="49"/>
      <c r="J35" s="49"/>
      <c r="K35" s="49"/>
    </row>
    <row r="36" spans="1:11" x14ac:dyDescent="0.25">
      <c r="A36" s="49"/>
      <c r="B36" s="1637"/>
      <c r="C36" s="1637"/>
      <c r="D36" s="168"/>
      <c r="E36" s="49"/>
      <c r="F36" s="49"/>
      <c r="G36" s="49"/>
      <c r="H36" s="49"/>
      <c r="I36" s="49"/>
      <c r="J36" s="49"/>
      <c r="K36" s="49"/>
    </row>
    <row r="37" spans="1:11" x14ac:dyDescent="0.25">
      <c r="A37" s="49"/>
      <c r="B37" s="1637"/>
      <c r="C37" s="1637"/>
      <c r="D37" s="168"/>
      <c r="E37" s="49"/>
      <c r="F37" s="49"/>
      <c r="G37" s="49"/>
      <c r="H37" s="49"/>
      <c r="I37" s="49"/>
      <c r="J37" s="49"/>
      <c r="K37" s="49"/>
    </row>
    <row r="38" spans="1:11" x14ac:dyDescent="0.25">
      <c r="A38" s="49"/>
      <c r="B38" s="1637"/>
      <c r="C38" s="1637"/>
      <c r="D38" s="168"/>
      <c r="E38" s="49"/>
      <c r="F38" s="49"/>
      <c r="G38" s="49"/>
      <c r="H38" s="49"/>
      <c r="I38" s="49"/>
      <c r="J38" s="49"/>
      <c r="K38" s="49"/>
    </row>
    <row r="39" spans="1:11" x14ac:dyDescent="0.25">
      <c r="A39" s="49"/>
      <c r="B39" s="1637"/>
      <c r="C39" s="1637"/>
      <c r="D39" s="168"/>
      <c r="E39" s="49"/>
      <c r="F39" s="49"/>
      <c r="G39" s="49"/>
      <c r="H39" s="49"/>
      <c r="I39" s="49"/>
      <c r="J39" s="49"/>
      <c r="K39" s="49"/>
    </row>
    <row r="40" spans="1:11" x14ac:dyDescent="0.25">
      <c r="A40" s="49"/>
      <c r="B40" s="1637"/>
      <c r="C40" s="1637"/>
      <c r="D40" s="168"/>
      <c r="E40" s="49"/>
      <c r="F40" s="49"/>
      <c r="G40" s="49"/>
      <c r="H40" s="49"/>
      <c r="I40" s="49"/>
      <c r="J40" s="49"/>
      <c r="K40" s="49"/>
    </row>
    <row r="41" spans="1:11" x14ac:dyDescent="0.25">
      <c r="A41" s="49"/>
      <c r="B41" s="1637"/>
      <c r="C41" s="1637"/>
      <c r="D41" s="168"/>
      <c r="E41" s="49"/>
      <c r="F41" s="49"/>
      <c r="G41" s="49"/>
      <c r="H41" s="49"/>
      <c r="I41" s="49"/>
      <c r="J41" s="49"/>
      <c r="K41" s="49"/>
    </row>
    <row r="42" spans="1:11" x14ac:dyDescent="0.25">
      <c r="A42" s="49"/>
      <c r="B42" s="1637"/>
      <c r="C42" s="1637"/>
      <c r="D42" s="168"/>
      <c r="E42" s="49"/>
      <c r="F42" s="49"/>
      <c r="G42" s="49"/>
      <c r="H42" s="49"/>
      <c r="I42" s="49"/>
      <c r="J42" s="49"/>
      <c r="K42" s="49"/>
    </row>
    <row r="43" spans="1:11" x14ac:dyDescent="0.25">
      <c r="A43" s="49"/>
      <c r="B43" s="1637"/>
      <c r="C43" s="1637"/>
      <c r="D43" s="168"/>
      <c r="E43" s="49"/>
      <c r="F43" s="49"/>
      <c r="G43" s="49"/>
      <c r="H43" s="49"/>
      <c r="I43" s="49"/>
      <c r="J43" s="49"/>
      <c r="K43" s="49"/>
    </row>
    <row r="44" spans="1:11" x14ac:dyDescent="0.25">
      <c r="A44" s="49"/>
      <c r="B44" s="50"/>
      <c r="C44" s="50"/>
      <c r="D44" s="498">
        <f>SUM(D31:D43)</f>
        <v>0</v>
      </c>
      <c r="E44" s="50"/>
      <c r="F44" s="49"/>
      <c r="G44" s="49"/>
      <c r="H44" s="49"/>
      <c r="I44" s="49"/>
      <c r="J44" s="49"/>
      <c r="K44" s="49"/>
    </row>
    <row r="45" spans="1:11" x14ac:dyDescent="0.25">
      <c r="A45" s="49"/>
      <c r="B45" s="50"/>
      <c r="C45" s="50"/>
      <c r="D45" s="50"/>
      <c r="E45" s="50"/>
      <c r="F45" s="49"/>
      <c r="G45" s="49"/>
      <c r="H45" s="49"/>
      <c r="I45" s="49"/>
      <c r="J45" s="78"/>
      <c r="K45" s="78"/>
    </row>
    <row r="46" spans="1:11" ht="18.75" customHeight="1" x14ac:dyDescent="0.25">
      <c r="A46" s="49"/>
      <c r="B46" s="2169" t="s">
        <v>146</v>
      </c>
      <c r="C46" s="2169"/>
      <c r="D46" s="79" t="str">
        <f>IFERROR(D44/D28,"")</f>
        <v/>
      </c>
      <c r="E46" s="69"/>
      <c r="F46" s="49"/>
      <c r="G46" s="49"/>
      <c r="H46" s="49"/>
      <c r="I46" s="49"/>
      <c r="J46" s="78"/>
      <c r="K46" s="78"/>
    </row>
    <row r="47" spans="1:11" ht="18" customHeight="1" x14ac:dyDescent="0.25">
      <c r="A47" s="49"/>
      <c r="B47" s="50"/>
      <c r="C47" s="50"/>
      <c r="D47" s="50"/>
      <c r="E47" s="50"/>
      <c r="F47" s="49"/>
      <c r="G47" s="49"/>
      <c r="H47" s="49"/>
      <c r="I47" s="49"/>
      <c r="J47" s="78"/>
      <c r="K47" s="78"/>
    </row>
    <row r="48" spans="1:11" ht="16.5" customHeight="1" x14ac:dyDescent="0.25">
      <c r="A48" s="2166" t="s">
        <v>186</v>
      </c>
      <c r="B48" s="2166"/>
      <c r="C48" s="2166"/>
      <c r="D48" s="50"/>
      <c r="E48" s="50"/>
      <c r="F48" s="50"/>
      <c r="G48" s="50"/>
      <c r="H48" s="50"/>
      <c r="I48" s="50"/>
      <c r="J48" s="50"/>
      <c r="K48" s="50"/>
    </row>
    <row r="49" spans="1:12" ht="16.5" customHeight="1" x14ac:dyDescent="0.25">
      <c r="A49" s="49"/>
      <c r="B49" s="50"/>
      <c r="C49" s="50"/>
      <c r="D49" s="50"/>
      <c r="E49" s="50"/>
      <c r="F49" s="49"/>
      <c r="G49" s="49"/>
      <c r="H49" s="49"/>
      <c r="I49" s="49"/>
      <c r="J49" s="78"/>
      <c r="K49" s="78"/>
    </row>
    <row r="50" spans="1:12" ht="18" customHeight="1" x14ac:dyDescent="0.25">
      <c r="A50" s="49"/>
      <c r="B50" s="2183" t="s">
        <v>1739</v>
      </c>
      <c r="C50" s="2184"/>
      <c r="D50" s="2184"/>
      <c r="E50" s="2184"/>
      <c r="F50" s="2184"/>
      <c r="G50" s="1100" t="s">
        <v>1737</v>
      </c>
      <c r="H50" s="2185" t="s">
        <v>1738</v>
      </c>
      <c r="I50" s="2186"/>
      <c r="J50" s="49"/>
      <c r="K50" s="49"/>
      <c r="L50" s="49"/>
    </row>
    <row r="51" spans="1:12" ht="24" customHeight="1" x14ac:dyDescent="0.25">
      <c r="A51" s="49"/>
      <c r="B51" s="1576" t="s">
        <v>1144</v>
      </c>
      <c r="C51" s="1577"/>
      <c r="D51" s="1577"/>
      <c r="E51" s="1577"/>
      <c r="F51" s="1578"/>
      <c r="G51" s="471" t="s">
        <v>124</v>
      </c>
      <c r="H51" s="1931"/>
      <c r="I51" s="1932"/>
      <c r="J51" s="49"/>
      <c r="K51" s="49"/>
      <c r="L51" s="49"/>
    </row>
    <row r="52" spans="1:12" ht="24" customHeight="1" x14ac:dyDescent="0.25">
      <c r="A52" s="49"/>
      <c r="B52" s="1576" t="s">
        <v>1145</v>
      </c>
      <c r="C52" s="1577"/>
      <c r="D52" s="1577"/>
      <c r="E52" s="1577"/>
      <c r="F52" s="1578"/>
      <c r="G52" s="471" t="s">
        <v>124</v>
      </c>
      <c r="H52" s="1931"/>
      <c r="I52" s="1932"/>
      <c r="J52" s="49"/>
      <c r="K52" s="49"/>
      <c r="L52" s="49"/>
    </row>
    <row r="53" spans="1:12" ht="17.25" customHeight="1" x14ac:dyDescent="0.25">
      <c r="A53" s="49"/>
      <c r="B53" s="50"/>
      <c r="C53" s="50"/>
      <c r="D53" s="50"/>
      <c r="E53" s="50"/>
      <c r="F53" s="49"/>
      <c r="G53" s="49"/>
      <c r="H53" s="49"/>
      <c r="I53" s="49"/>
      <c r="J53" s="78"/>
      <c r="K53" s="78"/>
    </row>
    <row r="54" spans="1:12" ht="16.5" customHeight="1" x14ac:dyDescent="0.25">
      <c r="A54" s="2166" t="s">
        <v>22</v>
      </c>
      <c r="B54" s="2166"/>
      <c r="C54" s="2166"/>
      <c r="D54" s="50"/>
      <c r="E54" s="50"/>
      <c r="F54" s="50"/>
      <c r="G54" s="50"/>
      <c r="H54" s="50"/>
      <c r="I54" s="50"/>
      <c r="J54" s="50"/>
      <c r="K54" s="50"/>
    </row>
    <row r="55" spans="1:12" x14ac:dyDescent="0.25">
      <c r="A55" s="49"/>
      <c r="B55" s="50"/>
      <c r="C55" s="50"/>
      <c r="D55" s="50"/>
      <c r="E55" s="50"/>
      <c r="F55" s="49"/>
      <c r="G55" s="49"/>
      <c r="H55" s="49"/>
      <c r="I55" s="49"/>
      <c r="J55" s="49"/>
      <c r="K55" s="49"/>
    </row>
    <row r="56" spans="1:12" ht="18" customHeight="1" x14ac:dyDescent="0.25">
      <c r="A56" s="49"/>
      <c r="B56" s="236" t="s">
        <v>53</v>
      </c>
      <c r="C56" s="1335">
        <f>IF(D46="",0,IF(D46&gt;=0.3,2,IF(D46&gt;=0.15,1,0)))</f>
        <v>0</v>
      </c>
      <c r="D56" s="50"/>
      <c r="E56" s="50"/>
      <c r="F56" s="49"/>
      <c r="G56" s="49"/>
      <c r="H56" s="49"/>
      <c r="I56" s="49"/>
      <c r="J56" s="49"/>
      <c r="K56" s="49"/>
    </row>
    <row r="57" spans="1:12" ht="18" customHeight="1" x14ac:dyDescent="0.25">
      <c r="A57" s="49"/>
      <c r="B57" s="237" t="s">
        <v>492</v>
      </c>
      <c r="C57" s="181" t="str">
        <f>IF(AND(COUNTIF(G51:G52,"Submitted")=2,C56&gt;0),"Yes","No")</f>
        <v>No</v>
      </c>
      <c r="D57" s="50"/>
      <c r="E57" s="50"/>
      <c r="F57" s="49"/>
      <c r="G57" s="49"/>
      <c r="H57" s="49"/>
      <c r="I57" s="49"/>
      <c r="J57" s="49"/>
      <c r="K57" s="49"/>
    </row>
    <row r="58" spans="1:12" ht="18.75" customHeight="1" x14ac:dyDescent="0.25">
      <c r="A58" s="49"/>
      <c r="B58" s="50"/>
      <c r="C58" s="50"/>
      <c r="D58" s="50"/>
      <c r="E58" s="50"/>
      <c r="F58" s="49"/>
      <c r="G58" s="49"/>
      <c r="H58" s="49"/>
      <c r="I58" s="49"/>
      <c r="J58" s="49"/>
      <c r="K58" s="49"/>
    </row>
    <row r="59" spans="1:12" ht="18" customHeight="1" x14ac:dyDescent="0.25">
      <c r="A59" s="2180" t="s">
        <v>524</v>
      </c>
      <c r="B59" s="2180"/>
      <c r="C59" s="2180"/>
      <c r="D59" s="2180"/>
      <c r="E59" s="2180"/>
      <c r="F59" s="2180"/>
      <c r="G59" s="2180"/>
      <c r="H59" s="2180"/>
      <c r="I59" s="2180"/>
      <c r="J59" s="2180"/>
      <c r="K59" s="2180"/>
    </row>
    <row r="60" spans="1:12" x14ac:dyDescent="0.25">
      <c r="A60" s="49"/>
      <c r="B60" s="248"/>
      <c r="C60" s="249"/>
      <c r="D60" s="50"/>
      <c r="E60" s="50"/>
      <c r="F60" s="49"/>
      <c r="G60" s="49"/>
      <c r="H60" s="49"/>
      <c r="I60" s="49"/>
      <c r="J60" s="49"/>
      <c r="K60" s="49"/>
    </row>
    <row r="61" spans="1:12" ht="16.5" customHeight="1" x14ac:dyDescent="0.25">
      <c r="A61" s="2166" t="s">
        <v>245</v>
      </c>
      <c r="B61" s="2166"/>
      <c r="C61" s="2166"/>
      <c r="D61" s="50"/>
      <c r="E61" s="50"/>
      <c r="F61" s="49"/>
      <c r="G61" s="49"/>
      <c r="H61" s="49"/>
      <c r="I61" s="49"/>
      <c r="J61" s="49"/>
      <c r="K61" s="49"/>
    </row>
    <row r="62" spans="1:12" x14ac:dyDescent="0.25">
      <c r="A62" s="49"/>
      <c r="B62" s="248"/>
      <c r="C62" s="249"/>
      <c r="D62" s="50"/>
      <c r="E62" s="50"/>
      <c r="F62" s="49"/>
      <c r="G62" s="49"/>
      <c r="H62" s="49"/>
      <c r="I62" s="49"/>
      <c r="J62" s="49"/>
      <c r="K62" s="49"/>
    </row>
    <row r="63" spans="1:12" x14ac:dyDescent="0.25">
      <c r="A63" s="49"/>
      <c r="B63" s="664" t="s">
        <v>2012</v>
      </c>
      <c r="C63" s="249"/>
      <c r="D63" s="50"/>
      <c r="E63" s="50"/>
      <c r="F63" s="49"/>
      <c r="G63" s="49"/>
      <c r="H63" s="49"/>
      <c r="I63" s="49"/>
      <c r="J63" s="49"/>
      <c r="K63" s="49"/>
    </row>
    <row r="64" spans="1:12" x14ac:dyDescent="0.25">
      <c r="A64" s="49"/>
      <c r="B64" s="478"/>
      <c r="C64" s="249"/>
      <c r="D64" s="50"/>
      <c r="E64" s="50"/>
      <c r="F64" s="49"/>
      <c r="G64" s="49"/>
      <c r="H64" s="49"/>
      <c r="I64" s="49"/>
      <c r="J64" s="49"/>
      <c r="K64" s="49"/>
    </row>
    <row r="65" spans="1:15" ht="16.5" customHeight="1" x14ac:dyDescent="0.25">
      <c r="A65" s="2166" t="s">
        <v>23</v>
      </c>
      <c r="B65" s="2166"/>
      <c r="C65" s="2166"/>
      <c r="D65" s="49"/>
      <c r="E65" s="49"/>
      <c r="F65" s="49"/>
      <c r="G65" s="49"/>
      <c r="H65" s="49"/>
      <c r="I65" s="49"/>
      <c r="J65" s="49"/>
      <c r="K65" s="49"/>
    </row>
    <row r="66" spans="1:15" x14ac:dyDescent="0.25">
      <c r="A66" s="49"/>
      <c r="B66" s="50"/>
      <c r="C66" s="50"/>
      <c r="D66" s="50"/>
      <c r="E66" s="50"/>
      <c r="F66" s="49"/>
      <c r="G66" s="49"/>
      <c r="H66" s="49"/>
      <c r="I66" s="49"/>
      <c r="J66" s="49"/>
      <c r="K66" s="49"/>
    </row>
    <row r="67" spans="1:15" x14ac:dyDescent="0.25">
      <c r="A67" s="49"/>
      <c r="B67" s="642" t="s">
        <v>2251</v>
      </c>
      <c r="C67" s="50"/>
      <c r="D67" s="50"/>
      <c r="E67" s="50"/>
      <c r="F67" s="49"/>
      <c r="G67" s="49"/>
      <c r="H67" s="49"/>
      <c r="I67" s="49"/>
      <c r="J67" s="49"/>
      <c r="K67" s="49"/>
    </row>
    <row r="68" spans="1:15" x14ac:dyDescent="0.25">
      <c r="A68" s="49"/>
      <c r="B68" s="642"/>
      <c r="C68" s="50"/>
      <c r="D68" s="50"/>
      <c r="E68" s="50"/>
      <c r="F68" s="49"/>
      <c r="G68" s="49"/>
      <c r="H68" s="49"/>
      <c r="I68" s="49"/>
      <c r="J68" s="49"/>
      <c r="K68" s="49"/>
    </row>
    <row r="69" spans="1:15" ht="10.5" customHeight="1" x14ac:dyDescent="0.25">
      <c r="A69" s="49"/>
      <c r="B69" s="2202" t="s">
        <v>1568</v>
      </c>
      <c r="C69" s="2202"/>
      <c r="D69" s="2202"/>
      <c r="E69" s="2202"/>
      <c r="F69" s="2202"/>
      <c r="G69" s="2202"/>
      <c r="H69" s="2202"/>
      <c r="I69" s="2202"/>
      <c r="J69" s="49"/>
      <c r="K69" s="49"/>
    </row>
    <row r="70" spans="1:15" ht="10.5" customHeight="1" x14ac:dyDescent="0.25">
      <c r="A70" s="49"/>
      <c r="B70" s="2202"/>
      <c r="C70" s="2202"/>
      <c r="D70" s="2202"/>
      <c r="E70" s="2202"/>
      <c r="F70" s="2202"/>
      <c r="G70" s="2202"/>
      <c r="H70" s="2202"/>
      <c r="I70" s="2202"/>
      <c r="J70" s="49"/>
      <c r="K70" s="49"/>
    </row>
    <row r="71" spans="1:15" x14ac:dyDescent="0.25">
      <c r="A71" s="49"/>
      <c r="B71" s="50"/>
      <c r="C71" s="50"/>
      <c r="D71" s="50"/>
      <c r="E71" s="50"/>
      <c r="F71" s="49"/>
      <c r="G71" s="49"/>
      <c r="H71" s="49"/>
      <c r="I71" s="49"/>
      <c r="J71" s="49"/>
      <c r="K71" s="49"/>
    </row>
    <row r="72" spans="1:15" ht="16.5" customHeight="1" x14ac:dyDescent="0.25">
      <c r="A72" s="49"/>
      <c r="B72" s="2200" t="s">
        <v>1171</v>
      </c>
      <c r="C72" s="2200"/>
      <c r="D72" s="168"/>
      <c r="E72" s="49"/>
      <c r="F72" s="49"/>
      <c r="G72" s="49"/>
      <c r="H72" s="49"/>
      <c r="I72" s="49"/>
      <c r="J72" s="49"/>
      <c r="K72" s="49"/>
    </row>
    <row r="73" spans="1:15" ht="16.5" customHeight="1" x14ac:dyDescent="0.25">
      <c r="A73" s="49"/>
      <c r="B73" s="2200" t="s">
        <v>1172</v>
      </c>
      <c r="C73" s="2200"/>
      <c r="D73" s="168"/>
      <c r="E73" s="49"/>
      <c r="F73" s="49"/>
      <c r="G73" s="397"/>
      <c r="H73" s="397"/>
      <c r="I73" s="397"/>
      <c r="J73" s="397"/>
      <c r="K73" s="397"/>
    </row>
    <row r="74" spans="1:15" ht="16.5" customHeight="1" x14ac:dyDescent="0.25">
      <c r="A74" s="49"/>
      <c r="B74" s="2200" t="s">
        <v>1570</v>
      </c>
      <c r="C74" s="2200"/>
      <c r="D74" s="168"/>
      <c r="E74" s="49"/>
      <c r="F74" s="2203" t="s">
        <v>1569</v>
      </c>
      <c r="G74" s="2203"/>
      <c r="H74" s="2203"/>
      <c r="I74" s="2203"/>
      <c r="J74" s="2203"/>
      <c r="K74" s="2203"/>
    </row>
    <row r="75" spans="1:15" x14ac:dyDescent="0.25">
      <c r="A75" s="49"/>
      <c r="B75" s="50"/>
      <c r="C75" s="50"/>
      <c r="D75" s="50"/>
      <c r="E75" s="49"/>
      <c r="F75" s="2203"/>
      <c r="G75" s="2203"/>
      <c r="H75" s="2203"/>
      <c r="I75" s="2203"/>
      <c r="J75" s="2203"/>
      <c r="K75" s="2203"/>
    </row>
    <row r="76" spans="1:15" ht="25.5" x14ac:dyDescent="0.25">
      <c r="A76" s="49"/>
      <c r="B76" s="499" t="s">
        <v>525</v>
      </c>
      <c r="C76" s="500" t="s">
        <v>1530</v>
      </c>
      <c r="D76" s="500" t="s">
        <v>526</v>
      </c>
      <c r="E76" s="500" t="s">
        <v>1572</v>
      </c>
      <c r="F76" s="49"/>
      <c r="G76" s="870" t="s">
        <v>526</v>
      </c>
      <c r="H76" s="2205" t="s">
        <v>1531</v>
      </c>
      <c r="I76" s="2206"/>
      <c r="J76" s="49"/>
      <c r="K76" s="49"/>
      <c r="L76" s="49"/>
      <c r="M76" s="49"/>
      <c r="N76" s="49"/>
    </row>
    <row r="77" spans="1:15" x14ac:dyDescent="0.25">
      <c r="A77" s="49"/>
      <c r="B77" s="483"/>
      <c r="C77" s="866"/>
      <c r="D77" s="471"/>
      <c r="E77" s="867" t="str">
        <f>IFERROR(O77*C77,"")</f>
        <v/>
      </c>
      <c r="F77" s="49"/>
      <c r="G77" s="869" t="s">
        <v>1532</v>
      </c>
      <c r="H77" s="2204">
        <v>0.2</v>
      </c>
      <c r="I77" s="2204"/>
      <c r="J77" s="49"/>
      <c r="K77" s="49"/>
      <c r="L77" s="49"/>
      <c r="M77" s="49"/>
      <c r="N77" s="38" t="str">
        <f t="shared" ref="N77:N91" si="0">IF(OR(D77="",D77=0),"",IF(D77&lt;100,$G$77,IF(D77&lt;200,$G$78,IF(D77&lt;250,$G$79,IF(D77&lt;320,$G$80,IF(D77&lt;400,$G$81,IF(D77&lt;550,$G$82,$G$83)))))))</f>
        <v/>
      </c>
      <c r="O77" s="38" t="e">
        <f t="shared" ref="O77:O91" si="1">VLOOKUP(N77,$G$76:$I$83,2,FALSE)</f>
        <v>#N/A</v>
      </c>
    </row>
    <row r="78" spans="1:15" x14ac:dyDescent="0.25">
      <c r="A78" s="49"/>
      <c r="B78" s="483"/>
      <c r="C78" s="866"/>
      <c r="D78" s="471"/>
      <c r="E78" s="867" t="str">
        <f t="shared" ref="E78:E80" si="2">IFERROR(O78*C78,"")</f>
        <v/>
      </c>
      <c r="F78" s="49"/>
      <c r="G78" s="869" t="s">
        <v>1533</v>
      </c>
      <c r="H78" s="2204">
        <v>0.33</v>
      </c>
      <c r="I78" s="2204"/>
      <c r="J78" s="49"/>
      <c r="K78" s="49"/>
      <c r="L78" s="49"/>
      <c r="M78" s="49"/>
      <c r="N78" s="38" t="str">
        <f t="shared" si="0"/>
        <v/>
      </c>
      <c r="O78" s="38" t="e">
        <f t="shared" si="1"/>
        <v>#N/A</v>
      </c>
    </row>
    <row r="79" spans="1:15" x14ac:dyDescent="0.25">
      <c r="A79" s="49"/>
      <c r="B79" s="483"/>
      <c r="C79" s="866"/>
      <c r="D79" s="471"/>
      <c r="E79" s="867" t="str">
        <f t="shared" si="2"/>
        <v/>
      </c>
      <c r="F79" s="49"/>
      <c r="G79" s="869" t="s">
        <v>1534</v>
      </c>
      <c r="H79" s="2204">
        <v>0.5</v>
      </c>
      <c r="I79" s="2204"/>
      <c r="J79" s="49"/>
      <c r="K79" s="49"/>
      <c r="L79" s="49"/>
      <c r="M79" s="49"/>
      <c r="N79" s="38" t="str">
        <f t="shared" si="0"/>
        <v/>
      </c>
      <c r="O79" s="38" t="e">
        <f t="shared" si="1"/>
        <v>#N/A</v>
      </c>
    </row>
    <row r="80" spans="1:15" x14ac:dyDescent="0.25">
      <c r="A80" s="49"/>
      <c r="B80" s="483"/>
      <c r="C80" s="866"/>
      <c r="D80" s="471"/>
      <c r="E80" s="867" t="str">
        <f t="shared" si="2"/>
        <v/>
      </c>
      <c r="F80" s="49"/>
      <c r="G80" s="869" t="s">
        <v>1535</v>
      </c>
      <c r="H80" s="2204">
        <v>1</v>
      </c>
      <c r="I80" s="2204"/>
      <c r="J80" s="49"/>
      <c r="K80" s="49"/>
      <c r="L80" s="49"/>
      <c r="M80" s="49"/>
      <c r="N80" s="38" t="str">
        <f t="shared" si="0"/>
        <v/>
      </c>
      <c r="O80" s="38" t="e">
        <f t="shared" si="1"/>
        <v>#N/A</v>
      </c>
    </row>
    <row r="81" spans="1:15" x14ac:dyDescent="0.25">
      <c r="A81" s="49"/>
      <c r="B81" s="882"/>
      <c r="C81" s="882"/>
      <c r="D81" s="882"/>
      <c r="E81" s="883" t="str">
        <f t="shared" ref="E81:E91" si="3">IFERROR(O81*C81,"")</f>
        <v/>
      </c>
      <c r="F81" s="49"/>
      <c r="G81" s="869" t="s">
        <v>1536</v>
      </c>
      <c r="H81" s="2204">
        <v>2</v>
      </c>
      <c r="I81" s="2204"/>
      <c r="J81" s="49"/>
      <c r="K81" s="49"/>
      <c r="L81" s="49"/>
      <c r="M81" s="49"/>
      <c r="N81" s="38" t="str">
        <f t="shared" si="0"/>
        <v/>
      </c>
      <c r="O81" s="38" t="e">
        <f t="shared" si="1"/>
        <v>#N/A</v>
      </c>
    </row>
    <row r="82" spans="1:15" x14ac:dyDescent="0.25">
      <c r="A82" s="49"/>
      <c r="B82" s="882"/>
      <c r="C82" s="882"/>
      <c r="D82" s="882"/>
      <c r="E82" s="883" t="str">
        <f t="shared" si="3"/>
        <v/>
      </c>
      <c r="F82" s="49"/>
      <c r="G82" s="869" t="s">
        <v>1537</v>
      </c>
      <c r="H82" s="2204">
        <v>3</v>
      </c>
      <c r="I82" s="2204"/>
      <c r="J82" s="49"/>
      <c r="K82" s="49"/>
      <c r="L82" s="49"/>
      <c r="M82" s="49"/>
      <c r="N82" s="38" t="str">
        <f t="shared" si="0"/>
        <v/>
      </c>
      <c r="O82" s="38" t="e">
        <f t="shared" si="1"/>
        <v>#N/A</v>
      </c>
    </row>
    <row r="83" spans="1:15" x14ac:dyDescent="0.25">
      <c r="A83" s="49"/>
      <c r="B83" s="882"/>
      <c r="C83" s="882"/>
      <c r="D83" s="882"/>
      <c r="E83" s="883" t="str">
        <f t="shared" si="3"/>
        <v/>
      </c>
      <c r="F83" s="49"/>
      <c r="G83" s="869" t="s">
        <v>1538</v>
      </c>
      <c r="H83" s="2204">
        <v>4</v>
      </c>
      <c r="I83" s="2204"/>
      <c r="J83" s="49"/>
      <c r="K83" s="49"/>
      <c r="L83" s="49"/>
      <c r="M83" s="49"/>
      <c r="N83" s="38" t="str">
        <f t="shared" si="0"/>
        <v/>
      </c>
      <c r="O83" s="38" t="e">
        <f t="shared" si="1"/>
        <v>#N/A</v>
      </c>
    </row>
    <row r="84" spans="1:15" x14ac:dyDescent="0.25">
      <c r="A84" s="49"/>
      <c r="B84" s="882"/>
      <c r="C84" s="882"/>
      <c r="D84" s="882"/>
      <c r="E84" s="883" t="str">
        <f t="shared" si="3"/>
        <v/>
      </c>
      <c r="F84" s="49"/>
      <c r="G84" s="2204" t="s">
        <v>1539</v>
      </c>
      <c r="H84" s="2204" t="s">
        <v>1540</v>
      </c>
      <c r="I84" s="2204"/>
      <c r="J84" s="49"/>
      <c r="K84" s="49"/>
      <c r="L84" s="49"/>
      <c r="M84" s="49"/>
      <c r="N84" s="38" t="str">
        <f t="shared" si="0"/>
        <v/>
      </c>
      <c r="O84" s="38" t="e">
        <f t="shared" si="1"/>
        <v>#N/A</v>
      </c>
    </row>
    <row r="85" spans="1:15" ht="15" customHeight="1" x14ac:dyDescent="0.25">
      <c r="A85" s="49"/>
      <c r="B85" s="882"/>
      <c r="C85" s="882"/>
      <c r="D85" s="882"/>
      <c r="E85" s="883" t="str">
        <f t="shared" si="3"/>
        <v/>
      </c>
      <c r="F85" s="49"/>
      <c r="G85" s="2204"/>
      <c r="H85" s="2204"/>
      <c r="I85" s="2204"/>
      <c r="J85" s="49"/>
      <c r="K85" s="49"/>
      <c r="L85" s="49"/>
      <c r="M85" s="49"/>
      <c r="N85" s="38" t="str">
        <f t="shared" si="0"/>
        <v/>
      </c>
      <c r="O85" s="38" t="e">
        <f t="shared" si="1"/>
        <v>#N/A</v>
      </c>
    </row>
    <row r="86" spans="1:15" x14ac:dyDescent="0.25">
      <c r="A86" s="49"/>
      <c r="B86" s="882"/>
      <c r="C86" s="882"/>
      <c r="D86" s="882"/>
      <c r="E86" s="883" t="str">
        <f t="shared" si="3"/>
        <v/>
      </c>
      <c r="F86" s="49"/>
      <c r="G86" s="2204"/>
      <c r="H86" s="2204"/>
      <c r="I86" s="2204"/>
      <c r="J86" s="49"/>
      <c r="K86" s="49"/>
      <c r="L86" s="49"/>
      <c r="M86" s="49"/>
      <c r="N86" s="38" t="str">
        <f t="shared" si="0"/>
        <v/>
      </c>
      <c r="O86" s="38" t="e">
        <f t="shared" si="1"/>
        <v>#N/A</v>
      </c>
    </row>
    <row r="87" spans="1:15" x14ac:dyDescent="0.25">
      <c r="A87" s="49"/>
      <c r="B87" s="882"/>
      <c r="C87" s="882"/>
      <c r="D87" s="882"/>
      <c r="E87" s="883" t="str">
        <f t="shared" si="3"/>
        <v/>
      </c>
      <c r="F87" s="49"/>
      <c r="G87" s="49"/>
      <c r="H87" s="49"/>
      <c r="I87" s="49"/>
      <c r="J87" s="49"/>
      <c r="K87" s="49"/>
      <c r="L87" s="49"/>
      <c r="M87" s="49"/>
      <c r="N87" s="38" t="str">
        <f t="shared" si="0"/>
        <v/>
      </c>
      <c r="O87" s="38" t="e">
        <f t="shared" si="1"/>
        <v>#N/A</v>
      </c>
    </row>
    <row r="88" spans="1:15" x14ac:dyDescent="0.25">
      <c r="A88" s="49"/>
      <c r="B88" s="882"/>
      <c r="C88" s="882"/>
      <c r="D88" s="882"/>
      <c r="E88" s="883" t="str">
        <f t="shared" si="3"/>
        <v/>
      </c>
      <c r="F88" s="49"/>
      <c r="G88" s="49"/>
      <c r="H88" s="49"/>
      <c r="I88" s="49"/>
      <c r="J88" s="49"/>
      <c r="K88" s="49"/>
      <c r="L88" s="49"/>
      <c r="M88" s="49"/>
      <c r="N88" s="38" t="str">
        <f t="shared" si="0"/>
        <v/>
      </c>
      <c r="O88" s="38" t="e">
        <f t="shared" si="1"/>
        <v>#N/A</v>
      </c>
    </row>
    <row r="89" spans="1:15" x14ac:dyDescent="0.25">
      <c r="A89" s="49"/>
      <c r="B89" s="882"/>
      <c r="C89" s="882"/>
      <c r="D89" s="882"/>
      <c r="E89" s="883" t="str">
        <f t="shared" si="3"/>
        <v/>
      </c>
      <c r="F89" s="49"/>
      <c r="G89" s="49"/>
      <c r="H89" s="49"/>
      <c r="I89" s="49"/>
      <c r="J89" s="49"/>
      <c r="K89" s="49"/>
      <c r="L89" s="49"/>
      <c r="M89" s="49"/>
      <c r="N89" s="38" t="str">
        <f t="shared" si="0"/>
        <v/>
      </c>
      <c r="O89" s="38" t="e">
        <f t="shared" si="1"/>
        <v>#N/A</v>
      </c>
    </row>
    <row r="90" spans="1:15" x14ac:dyDescent="0.25">
      <c r="A90" s="49"/>
      <c r="B90" s="882"/>
      <c r="C90" s="882"/>
      <c r="D90" s="882"/>
      <c r="E90" s="883" t="str">
        <f t="shared" si="3"/>
        <v/>
      </c>
      <c r="F90" s="49"/>
      <c r="G90" s="49"/>
      <c r="H90" s="49"/>
      <c r="I90" s="49"/>
      <c r="J90" s="49"/>
      <c r="K90" s="49"/>
      <c r="L90" s="49"/>
      <c r="M90" s="49"/>
      <c r="N90" s="38" t="str">
        <f t="shared" si="0"/>
        <v/>
      </c>
      <c r="O90" s="38" t="e">
        <f t="shared" si="1"/>
        <v>#N/A</v>
      </c>
    </row>
    <row r="91" spans="1:15" x14ac:dyDescent="0.25">
      <c r="A91" s="49"/>
      <c r="B91" s="882"/>
      <c r="C91" s="882"/>
      <c r="D91" s="882"/>
      <c r="E91" s="883" t="str">
        <f t="shared" si="3"/>
        <v/>
      </c>
      <c r="F91" s="49"/>
      <c r="G91" s="49"/>
      <c r="H91" s="49"/>
      <c r="I91" s="49"/>
      <c r="J91" s="49"/>
      <c r="K91" s="49"/>
      <c r="L91" s="49"/>
      <c r="M91" s="49"/>
      <c r="N91" s="38" t="str">
        <f t="shared" si="0"/>
        <v/>
      </c>
      <c r="O91" s="38" t="e">
        <f t="shared" si="1"/>
        <v>#N/A</v>
      </c>
    </row>
    <row r="92" spans="1:15" x14ac:dyDescent="0.25">
      <c r="A92" s="49"/>
      <c r="B92" s="50"/>
      <c r="C92" s="50"/>
      <c r="D92" s="50"/>
      <c r="E92" s="868">
        <f>SUM(E77:E86)</f>
        <v>0</v>
      </c>
      <c r="F92" s="49"/>
      <c r="G92" s="49"/>
      <c r="H92" s="49"/>
      <c r="I92" s="49"/>
      <c r="J92" s="49"/>
      <c r="K92" s="49"/>
      <c r="L92" s="49"/>
      <c r="M92" s="49"/>
    </row>
    <row r="93" spans="1:15" ht="13.5" customHeight="1" x14ac:dyDescent="0.25">
      <c r="A93" s="49"/>
      <c r="B93" s="50"/>
      <c r="C93" s="50"/>
      <c r="D93" s="50"/>
      <c r="E93" s="50"/>
      <c r="F93" s="49"/>
      <c r="G93" s="49"/>
      <c r="H93" s="49"/>
      <c r="I93" s="49"/>
      <c r="J93" s="78"/>
      <c r="K93" s="78"/>
    </row>
    <row r="94" spans="1:15" ht="18.75" customHeight="1" x14ac:dyDescent="0.25">
      <c r="A94" s="49"/>
      <c r="B94" s="2169" t="s">
        <v>906</v>
      </c>
      <c r="C94" s="2169"/>
      <c r="D94" s="2208" t="str">
        <f>IFERROR(CONCATENATE("1 pot plant unit for every "&amp;ROUND((D72+D73+D74)/E92,2)&amp;" m2"),"")</f>
        <v/>
      </c>
      <c r="E94" s="2208"/>
      <c r="F94" s="49"/>
      <c r="G94" s="49"/>
      <c r="H94" s="49"/>
      <c r="I94" s="49"/>
      <c r="J94" s="78"/>
      <c r="K94" s="78"/>
    </row>
    <row r="95" spans="1:15" ht="18" customHeight="1" x14ac:dyDescent="0.25">
      <c r="A95" s="49"/>
      <c r="B95" s="50"/>
      <c r="C95" s="50"/>
      <c r="D95" s="50"/>
      <c r="E95" s="50"/>
      <c r="F95" s="49"/>
      <c r="G95" s="49"/>
      <c r="H95" s="49"/>
      <c r="I95" s="49"/>
      <c r="J95" s="78"/>
      <c r="K95" s="78"/>
    </row>
    <row r="96" spans="1:15" ht="16.5" customHeight="1" x14ac:dyDescent="0.25">
      <c r="A96" s="2166" t="s">
        <v>186</v>
      </c>
      <c r="B96" s="2166"/>
      <c r="C96" s="2166"/>
      <c r="D96" s="50"/>
      <c r="E96" s="50"/>
      <c r="F96" s="50"/>
      <c r="G96" s="50"/>
      <c r="H96" s="50"/>
      <c r="I96" s="50"/>
      <c r="J96" s="50"/>
      <c r="K96" s="50"/>
    </row>
    <row r="97" spans="1:12" ht="16.5" customHeight="1" x14ac:dyDescent="0.25">
      <c r="A97" s="49"/>
      <c r="B97" s="50"/>
      <c r="C97" s="50"/>
      <c r="D97" s="50"/>
      <c r="E97" s="50"/>
      <c r="F97" s="49"/>
      <c r="G97" s="49"/>
      <c r="H97" s="49"/>
      <c r="I97" s="49"/>
      <c r="J97" s="78"/>
      <c r="K97" s="78"/>
    </row>
    <row r="98" spans="1:12" ht="18" customHeight="1" x14ac:dyDescent="0.25">
      <c r="A98" s="49"/>
      <c r="B98" s="2183" t="s">
        <v>1739</v>
      </c>
      <c r="C98" s="2184"/>
      <c r="D98" s="2184"/>
      <c r="E98" s="2184"/>
      <c r="F98" s="2184"/>
      <c r="G98" s="1100" t="s">
        <v>1737</v>
      </c>
      <c r="H98" s="2185" t="s">
        <v>1738</v>
      </c>
      <c r="I98" s="2186"/>
      <c r="J98" s="49"/>
      <c r="K98" s="49"/>
      <c r="L98" s="49"/>
    </row>
    <row r="99" spans="1:12" ht="24" customHeight="1" x14ac:dyDescent="0.25">
      <c r="A99" s="49"/>
      <c r="B99" s="1576" t="s">
        <v>1146</v>
      </c>
      <c r="C99" s="1577"/>
      <c r="D99" s="1577"/>
      <c r="E99" s="1577"/>
      <c r="F99" s="1578"/>
      <c r="G99" s="471" t="s">
        <v>124</v>
      </c>
      <c r="H99" s="1931"/>
      <c r="I99" s="1932"/>
      <c r="J99" s="49"/>
      <c r="K99" s="49"/>
      <c r="L99" s="49"/>
    </row>
    <row r="100" spans="1:12" x14ac:dyDescent="0.25">
      <c r="A100" s="49"/>
      <c r="B100" s="50"/>
      <c r="C100" s="50"/>
      <c r="D100" s="50"/>
      <c r="E100" s="50"/>
      <c r="F100" s="49"/>
      <c r="G100" s="49"/>
      <c r="H100" s="49"/>
      <c r="I100" s="49"/>
      <c r="J100" s="78"/>
      <c r="K100" s="78"/>
    </row>
    <row r="101" spans="1:12" ht="16.5" customHeight="1" x14ac:dyDescent="0.25">
      <c r="A101" s="2166" t="s">
        <v>22</v>
      </c>
      <c r="B101" s="2166"/>
      <c r="C101" s="2166"/>
      <c r="D101" s="50"/>
      <c r="E101" s="50"/>
      <c r="F101" s="50"/>
      <c r="G101" s="50"/>
      <c r="H101" s="50"/>
      <c r="I101" s="50"/>
      <c r="J101" s="50"/>
      <c r="K101" s="50"/>
    </row>
    <row r="102" spans="1:12" ht="16.5" customHeight="1" x14ac:dyDescent="0.25">
      <c r="A102" s="49"/>
      <c r="B102" s="50"/>
      <c r="C102" s="50"/>
      <c r="D102" s="50"/>
      <c r="E102" s="50"/>
      <c r="F102" s="49"/>
      <c r="G102" s="49"/>
      <c r="H102" s="49"/>
      <c r="I102" s="49"/>
      <c r="J102" s="49"/>
      <c r="K102" s="49"/>
    </row>
    <row r="103" spans="1:12" ht="18" customHeight="1" x14ac:dyDescent="0.25">
      <c r="A103" s="49"/>
      <c r="B103" s="236" t="s">
        <v>53</v>
      </c>
      <c r="C103" s="1335">
        <f>IFERROR(IF((D72+D73+D74)/E92&lt;=5,2,IF((D72+D73+D74)/E92&lt;=10,1,0)),0)</f>
        <v>0</v>
      </c>
      <c r="D103" s="50"/>
      <c r="E103" s="50"/>
      <c r="F103" s="49"/>
      <c r="G103" s="49"/>
      <c r="H103" s="49"/>
      <c r="I103" s="49"/>
      <c r="J103" s="49"/>
      <c r="K103" s="49"/>
    </row>
    <row r="104" spans="1:12" ht="18" customHeight="1" x14ac:dyDescent="0.25">
      <c r="A104" s="49"/>
      <c r="B104" s="237" t="s">
        <v>492</v>
      </c>
      <c r="C104" s="181" t="str">
        <f>IF(AND(COUNTIF(G99:G99,"Submitted")=1,C103&gt;0),"Yes","No")</f>
        <v>No</v>
      </c>
      <c r="D104" s="50"/>
      <c r="E104" s="50"/>
      <c r="F104" s="49"/>
      <c r="G104" s="49"/>
      <c r="H104" s="49"/>
      <c r="I104" s="49"/>
      <c r="J104" s="49"/>
      <c r="K104" s="49"/>
    </row>
    <row r="105" spans="1:12" ht="18.75" customHeight="1" x14ac:dyDescent="0.25">
      <c r="A105" s="49"/>
      <c r="B105" s="50"/>
      <c r="C105" s="50"/>
      <c r="D105" s="50"/>
      <c r="E105" s="50"/>
      <c r="F105" s="49"/>
      <c r="G105" s="49"/>
      <c r="H105" s="49"/>
      <c r="I105" s="49"/>
      <c r="J105" s="49"/>
      <c r="K105" s="49"/>
    </row>
    <row r="106" spans="1:12" hidden="1" x14ac:dyDescent="0.25"/>
    <row r="107" spans="1:12" hidden="1" x14ac:dyDescent="0.25"/>
    <row r="108" spans="1:12" hidden="1" x14ac:dyDescent="0.25"/>
    <row r="109" spans="1:12" hidden="1" x14ac:dyDescent="0.25"/>
  </sheetData>
  <sheetProtection algorithmName="SHA-512" hashValue="qUNeJ4Hicp2iW07dcZ7gTtjY/oH2aMPToAxkVEraHrF1Pkj6nHD6tjLiqmUsOTMercGfj9p9Q1Qm6NFSPBJbZg==" saltValue="TUYA2JL2zayWPB/bKHXWLA==" spinCount="100000" sheet="1" objects="1" scenarios="1"/>
  <mergeCells count="61">
    <mergeCell ref="H99:I99"/>
    <mergeCell ref="B98:F98"/>
    <mergeCell ref="H98:I98"/>
    <mergeCell ref="B50:F50"/>
    <mergeCell ref="H50:I50"/>
    <mergeCell ref="H51:I51"/>
    <mergeCell ref="H52:I52"/>
    <mergeCell ref="A96:C96"/>
    <mergeCell ref="D94:E94"/>
    <mergeCell ref="G84:G86"/>
    <mergeCell ref="H84:I86"/>
    <mergeCell ref="H77:I77"/>
    <mergeCell ref="H78:I78"/>
    <mergeCell ref="H79:I79"/>
    <mergeCell ref="H80:I80"/>
    <mergeCell ref="H81:I81"/>
    <mergeCell ref="B11:E11"/>
    <mergeCell ref="B13:E13"/>
    <mergeCell ref="H76:I76"/>
    <mergeCell ref="B33:C33"/>
    <mergeCell ref="B34:C34"/>
    <mergeCell ref="B35:C35"/>
    <mergeCell ref="B36:C36"/>
    <mergeCell ref="B30:C30"/>
    <mergeCell ref="B31:C31"/>
    <mergeCell ref="B32:C32"/>
    <mergeCell ref="B43:C43"/>
    <mergeCell ref="B41:C41"/>
    <mergeCell ref="B46:C46"/>
    <mergeCell ref="A101:C101"/>
    <mergeCell ref="A48:C48"/>
    <mergeCell ref="A54:C54"/>
    <mergeCell ref="B72:C72"/>
    <mergeCell ref="B94:C94"/>
    <mergeCell ref="B99:F99"/>
    <mergeCell ref="B51:F51"/>
    <mergeCell ref="B52:F52"/>
    <mergeCell ref="A61:C61"/>
    <mergeCell ref="B73:C73"/>
    <mergeCell ref="B69:I70"/>
    <mergeCell ref="A65:C65"/>
    <mergeCell ref="F74:K75"/>
    <mergeCell ref="B74:C74"/>
    <mergeCell ref="H82:I82"/>
    <mergeCell ref="H83:I83"/>
    <mergeCell ref="A1:K1"/>
    <mergeCell ref="A59:K59"/>
    <mergeCell ref="A16:K16"/>
    <mergeCell ref="A9:K9"/>
    <mergeCell ref="A18:C18"/>
    <mergeCell ref="B14:E14"/>
    <mergeCell ref="B37:C37"/>
    <mergeCell ref="B38:C38"/>
    <mergeCell ref="B39:C39"/>
    <mergeCell ref="B40:C40"/>
    <mergeCell ref="A24:C24"/>
    <mergeCell ref="G2:H4"/>
    <mergeCell ref="B12:E12"/>
    <mergeCell ref="B28:C28"/>
    <mergeCell ref="B42:C42"/>
    <mergeCell ref="A5:K7"/>
  </mergeCells>
  <conditionalFormatting sqref="G99">
    <cfRule type="expression" dxfId="73" priority="6">
      <formula>#REF!&lt;&gt;"Prescriptive Path"</formula>
    </cfRule>
  </conditionalFormatting>
  <conditionalFormatting sqref="G51:G52">
    <cfRule type="expression" dxfId="72" priority="5">
      <formula>#REF!&lt;&gt;"Prescriptive Path"</formula>
    </cfRule>
  </conditionalFormatting>
  <conditionalFormatting sqref="H98:I98">
    <cfRule type="expression" dxfId="71" priority="4">
      <formula>#REF!&lt;&gt;"Prescriptive Path"</formula>
    </cfRule>
  </conditionalFormatting>
  <conditionalFormatting sqref="H50:I50">
    <cfRule type="expression" dxfId="70" priority="3">
      <formula>#REF!&lt;&gt;"Prescriptive Path"</formula>
    </cfRule>
  </conditionalFormatting>
  <conditionalFormatting sqref="H51:H52">
    <cfRule type="expression" dxfId="69" priority="2">
      <formula>#REF!&lt;&gt;"Prescriptive Path"</formula>
    </cfRule>
  </conditionalFormatting>
  <conditionalFormatting sqref="H99">
    <cfRule type="expression" dxfId="68" priority="1">
      <formula>#REF!&lt;&gt;"Prescriptive Path"</formula>
    </cfRule>
  </conditionalFormatting>
  <dataValidations count="5">
    <dataValidation type="list" allowBlank="1" showInputMessage="1" showErrorMessage="1" sqref="G51:G52" xr:uid="{00000000-0002-0000-2B00-000000000000}">
      <formula1>"Submitted,Not submitted"</formula1>
    </dataValidation>
    <dataValidation allowBlank="1" showInputMessage="1" showErrorMessage="1" prompt="Enter the name of the plant" sqref="B77:B91" xr:uid="{00000000-0002-0000-2B00-000001000000}"/>
    <dataValidation allowBlank="1" showInputMessage="1" showErrorMessage="1" prompt="Enter the name of the vegetation species and the type of vegetation (grass, shrub, tree, etc.)" sqref="B31:C43" xr:uid="{00000000-0002-0000-2B00-000002000000}"/>
    <dataValidation allowBlank="1" showInputMessage="1" showErrorMessage="1" prompt="Width of the opening at the top of the pot" sqref="D76:D91 G76" xr:uid="{00000000-0002-0000-2B00-000003000000}"/>
    <dataValidation type="list" allowBlank="1" showInputMessage="1" showErrorMessage="1" sqref="G99" xr:uid="{00000000-0002-0000-2B00-000004000000}">
      <formula1>"Select,Submitted,Not submitted"</formula1>
    </dataValidation>
  </dataValidations>
  <hyperlinks>
    <hyperlink ref="J4" location="'LE-7 Refrigerants'!E3" tooltip="LE-7" display="LE-7" xr:uid="{00000000-0004-0000-2B00-000000000000}"/>
    <hyperlink ref="I3" location="'LE-2 Site design'!B3" tooltip="LE-2" display="LE-2" xr:uid="{00000000-0004-0000-2B00-000001000000}"/>
    <hyperlink ref="I4" location="'LE-4 Heat Island Effect'!D3" tooltip="LE-4" display="LE-4" xr:uid="{00000000-0004-0000-2B00-000002000000}"/>
    <hyperlink ref="J3" location="'LE-6 Flood Risk Mitigation'!E3" tooltip="LE-6" display="LE-6" xr:uid="{00000000-0004-0000-2B00-000003000000}"/>
    <hyperlink ref="I2" location="'LE-1 Site Selection'!B3" tooltip="LE-1" display="LE-1" xr:uid="{00000000-0004-0000-2B00-000004000000}"/>
    <hyperlink ref="K3" location="'LE-8 Recycling Storage Area'!B3" tooltip="LE-8" display="LE-8" xr:uid="{00000000-0004-0000-2B00-000005000000}"/>
    <hyperlink ref="J2" location="'LE-5 Storm Water Runoff'!B3" tooltip="LE-5" display="LE-5" xr:uid="{00000000-0004-0000-2B00-000006000000}"/>
  </hyperlinks>
  <pageMargins left="0.7" right="0.7" top="0.75" bottom="0.75" header="0.3" footer="0.3"/>
  <pageSetup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76923C"/>
  </sheetPr>
  <dimension ref="A1:S87"/>
  <sheetViews>
    <sheetView showGridLines="0" showRowColHeaders="0" workbookViewId="0">
      <pane ySplit="8" topLeftCell="A9" activePane="bottomLeft" state="frozen"/>
      <selection activeCell="M21" sqref="M21"/>
      <selection pane="bottomLeft" activeCell="J2" sqref="J2"/>
    </sheetView>
  </sheetViews>
  <sheetFormatPr defaultColWidth="0" defaultRowHeight="15" zeroHeight="1" x14ac:dyDescent="0.25"/>
  <cols>
    <col min="1" max="1" width="3.42578125" style="38" customWidth="1"/>
    <col min="2" max="2" width="19.7109375" style="38" customWidth="1"/>
    <col min="3" max="3" width="23" style="38" customWidth="1"/>
    <col min="4" max="4" width="20.7109375" style="38" customWidth="1"/>
    <col min="5" max="5" width="19.85546875" style="38" customWidth="1"/>
    <col min="6" max="8" width="19.7109375" style="38" customWidth="1"/>
    <col min="9" max="11" width="8.7109375" style="38" customWidth="1"/>
    <col min="12" max="14" width="9.140625" style="38" hidden="1" customWidth="1"/>
    <col min="15" max="15" width="8" style="38" hidden="1" customWidth="1"/>
    <col min="16" max="16" width="17.5703125" style="38" hidden="1" customWidth="1"/>
    <col min="17" max="17" width="12.140625" style="38" hidden="1" customWidth="1"/>
    <col min="18" max="16384" width="9.140625" style="38" hidden="1"/>
  </cols>
  <sheetData>
    <row r="1" spans="1:14" ht="24.75" customHeight="1" x14ac:dyDescent="0.25">
      <c r="A1" s="1348" t="s">
        <v>5</v>
      </c>
      <c r="B1" s="1348"/>
      <c r="C1" s="1348"/>
      <c r="D1" s="1348"/>
      <c r="E1" s="1348"/>
      <c r="F1" s="1348"/>
      <c r="G1" s="1348"/>
      <c r="H1" s="1348"/>
      <c r="I1" s="1348"/>
      <c r="J1" s="1348"/>
      <c r="K1" s="1348"/>
    </row>
    <row r="2" spans="1:14" ht="15" customHeight="1" x14ac:dyDescent="0.25">
      <c r="A2" s="49"/>
      <c r="B2" s="50"/>
      <c r="C2" s="50"/>
      <c r="D2" s="50"/>
      <c r="E2" s="50"/>
      <c r="F2" s="49"/>
      <c r="G2" s="1585" t="s">
        <v>1761</v>
      </c>
      <c r="H2" s="1585"/>
      <c r="I2" s="230" t="s">
        <v>57</v>
      </c>
      <c r="J2" s="230" t="s">
        <v>73</v>
      </c>
      <c r="K2" s="230"/>
    </row>
    <row r="3" spans="1:14" ht="15" customHeight="1" x14ac:dyDescent="0.25">
      <c r="A3" s="49"/>
      <c r="B3" s="50"/>
      <c r="C3" s="50"/>
      <c r="D3" s="50"/>
      <c r="E3" s="50"/>
      <c r="F3" s="49"/>
      <c r="G3" s="1585"/>
      <c r="H3" s="1585"/>
      <c r="I3" s="230" t="s">
        <v>61</v>
      </c>
      <c r="J3" s="230" t="s">
        <v>77</v>
      </c>
      <c r="K3" s="230" t="s">
        <v>155</v>
      </c>
    </row>
    <row r="4" spans="1:14" ht="15" customHeight="1" x14ac:dyDescent="0.25">
      <c r="A4" s="49"/>
      <c r="B4" s="50"/>
      <c r="C4" s="50"/>
      <c r="D4" s="50"/>
      <c r="E4" s="50"/>
      <c r="F4" s="49"/>
      <c r="G4" s="1822"/>
      <c r="H4" s="1822"/>
      <c r="I4" s="230" t="s">
        <v>65</v>
      </c>
      <c r="J4" s="230" t="s">
        <v>126</v>
      </c>
      <c r="K4" s="213"/>
    </row>
    <row r="5" spans="1:14" ht="16.5" customHeight="1" x14ac:dyDescent="0.25">
      <c r="A5" s="1600" t="s">
        <v>2657</v>
      </c>
      <c r="B5" s="1601"/>
      <c r="C5" s="1601"/>
      <c r="D5" s="1601"/>
      <c r="E5" s="1601"/>
      <c r="F5" s="1601"/>
      <c r="G5" s="1601"/>
      <c r="H5" s="1601"/>
      <c r="I5" s="1601"/>
      <c r="J5" s="1601"/>
      <c r="K5" s="1601"/>
      <c r="L5" s="172"/>
      <c r="M5" s="172"/>
      <c r="N5" s="173"/>
    </row>
    <row r="6" spans="1:14" ht="16.5" customHeight="1" x14ac:dyDescent="0.25">
      <c r="A6" s="1603"/>
      <c r="B6" s="1604"/>
      <c r="C6" s="1604"/>
      <c r="D6" s="1604"/>
      <c r="E6" s="1604"/>
      <c r="F6" s="1604"/>
      <c r="G6" s="1604"/>
      <c r="H6" s="1604"/>
      <c r="I6" s="1604"/>
      <c r="J6" s="1604"/>
      <c r="K6" s="1604"/>
      <c r="L6" s="174"/>
      <c r="M6" s="174"/>
      <c r="N6" s="175"/>
    </row>
    <row r="7" spans="1:14" ht="16.5" customHeight="1" x14ac:dyDescent="0.25">
      <c r="A7" s="1606"/>
      <c r="B7" s="1607"/>
      <c r="C7" s="1607"/>
      <c r="D7" s="1607"/>
      <c r="E7" s="1607"/>
      <c r="F7" s="1607"/>
      <c r="G7" s="1607"/>
      <c r="H7" s="1607"/>
      <c r="I7" s="1607"/>
      <c r="J7" s="1607"/>
      <c r="K7" s="1607"/>
      <c r="L7" s="176"/>
      <c r="M7" s="176"/>
      <c r="N7" s="177"/>
    </row>
    <row r="8" spans="1:14" ht="12" customHeight="1" x14ac:dyDescent="0.25">
      <c r="A8" s="49"/>
      <c r="B8" s="50"/>
      <c r="C8" s="50"/>
      <c r="D8" s="50"/>
      <c r="E8" s="50"/>
      <c r="F8" s="49"/>
      <c r="G8" s="49"/>
      <c r="H8" s="49"/>
      <c r="I8" s="49"/>
      <c r="J8" s="49"/>
      <c r="K8" s="49"/>
      <c r="L8" s="49"/>
      <c r="M8" s="49"/>
      <c r="N8" s="49"/>
    </row>
    <row r="9" spans="1:14" ht="18" customHeight="1" x14ac:dyDescent="0.25">
      <c r="A9" s="2180" t="s">
        <v>177</v>
      </c>
      <c r="B9" s="2180"/>
      <c r="C9" s="2180"/>
      <c r="D9" s="2180"/>
      <c r="E9" s="2180"/>
      <c r="F9" s="2180"/>
      <c r="G9" s="2180"/>
      <c r="H9" s="2180"/>
      <c r="I9" s="2180"/>
      <c r="J9" s="2180"/>
      <c r="K9" s="2180"/>
    </row>
    <row r="10" spans="1:14" ht="16.5" customHeight="1" x14ac:dyDescent="0.25">
      <c r="A10" s="49"/>
      <c r="B10" s="50"/>
      <c r="C10" s="50"/>
      <c r="D10" s="50"/>
      <c r="E10" s="50"/>
      <c r="F10" s="49"/>
      <c r="G10" s="49"/>
      <c r="H10" s="49"/>
      <c r="I10" s="49"/>
      <c r="J10" s="49"/>
      <c r="K10" s="49"/>
    </row>
    <row r="11" spans="1:14" ht="19.5" customHeight="1" x14ac:dyDescent="0.25">
      <c r="A11" s="49"/>
      <c r="B11" s="2181" t="s">
        <v>178</v>
      </c>
      <c r="C11" s="2182"/>
      <c r="D11" s="2182"/>
      <c r="E11" s="2182"/>
      <c r="F11" s="640" t="s">
        <v>152</v>
      </c>
      <c r="G11" s="640" t="s">
        <v>53</v>
      </c>
      <c r="H11" s="56" t="s">
        <v>492</v>
      </c>
      <c r="I11" s="49"/>
      <c r="J11" s="49"/>
      <c r="K11" s="49"/>
    </row>
    <row r="12" spans="1:14" ht="30" customHeight="1" x14ac:dyDescent="0.25">
      <c r="A12" s="49"/>
      <c r="B12" s="1611" t="s">
        <v>6</v>
      </c>
      <c r="C12" s="1612"/>
      <c r="D12" s="1612"/>
      <c r="E12" s="2021"/>
      <c r="F12" s="55">
        <v>2</v>
      </c>
      <c r="G12" s="55">
        <f>C80</f>
        <v>0</v>
      </c>
      <c r="H12" s="55" t="str">
        <f>C81</f>
        <v>No</v>
      </c>
      <c r="I12" s="81"/>
      <c r="J12" s="81"/>
      <c r="K12" s="49"/>
    </row>
    <row r="13" spans="1:14" ht="16.5" customHeight="1" x14ac:dyDescent="0.25">
      <c r="A13" s="49"/>
      <c r="B13" s="50"/>
      <c r="C13" s="50"/>
      <c r="D13" s="50"/>
      <c r="E13" s="50"/>
      <c r="F13" s="49"/>
      <c r="G13" s="49"/>
      <c r="H13" s="49"/>
      <c r="I13" s="49"/>
      <c r="J13" s="49"/>
      <c r="K13" s="49"/>
    </row>
    <row r="14" spans="1:14" ht="18" customHeight="1" x14ac:dyDescent="0.25">
      <c r="A14" s="2180" t="s">
        <v>245</v>
      </c>
      <c r="B14" s="2180"/>
      <c r="C14" s="2180"/>
      <c r="D14" s="2180"/>
      <c r="E14" s="2180"/>
      <c r="F14" s="2180"/>
      <c r="G14" s="2180"/>
      <c r="H14" s="2180"/>
      <c r="I14" s="2180"/>
      <c r="J14" s="2180"/>
      <c r="K14" s="2180"/>
    </row>
    <row r="15" spans="1:14" ht="12" customHeight="1" x14ac:dyDescent="0.25">
      <c r="A15" s="49"/>
      <c r="B15" s="50"/>
      <c r="C15" s="50"/>
      <c r="D15" s="50"/>
      <c r="E15" s="50"/>
      <c r="F15" s="49"/>
      <c r="G15" s="49"/>
      <c r="H15" s="49"/>
      <c r="I15" s="49"/>
      <c r="J15" s="49"/>
      <c r="K15" s="49"/>
      <c r="M15" s="38" t="s">
        <v>36</v>
      </c>
    </row>
    <row r="16" spans="1:14" x14ac:dyDescent="0.25">
      <c r="A16" s="49"/>
      <c r="B16" s="644" t="s">
        <v>898</v>
      </c>
      <c r="C16" s="49"/>
      <c r="D16" s="49"/>
      <c r="E16" s="49"/>
      <c r="F16" s="49"/>
      <c r="G16" s="49"/>
      <c r="H16" s="49"/>
      <c r="I16" s="49"/>
      <c r="J16" s="49"/>
      <c r="K16" s="49"/>
      <c r="M16" s="38" t="s">
        <v>124</v>
      </c>
    </row>
    <row r="17" spans="1:11" x14ac:dyDescent="0.25">
      <c r="A17" s="49"/>
      <c r="B17" s="423"/>
      <c r="C17" s="49"/>
      <c r="D17" s="49"/>
      <c r="E17" s="49"/>
      <c r="F17" s="49"/>
      <c r="G17" s="49"/>
      <c r="H17" s="49"/>
      <c r="I17" s="49"/>
      <c r="J17" s="49"/>
      <c r="K17" s="49"/>
    </row>
    <row r="18" spans="1:11" x14ac:dyDescent="0.25">
      <c r="A18" s="49"/>
      <c r="B18" s="2220" t="s">
        <v>1141</v>
      </c>
      <c r="C18" s="2221"/>
      <c r="D18" s="2221"/>
      <c r="E18" s="2221"/>
      <c r="F18" s="2221"/>
      <c r="G18" s="2221"/>
      <c r="H18" s="2222"/>
      <c r="I18" s="49"/>
      <c r="J18" s="49"/>
      <c r="K18" s="49"/>
    </row>
    <row r="19" spans="1:11" x14ac:dyDescent="0.25">
      <c r="A19" s="49"/>
      <c r="B19" s="2214" t="s">
        <v>904</v>
      </c>
      <c r="C19" s="2215"/>
      <c r="D19" s="2215"/>
      <c r="E19" s="2215"/>
      <c r="F19" s="2215"/>
      <c r="G19" s="2215"/>
      <c r="H19" s="2216"/>
      <c r="I19" s="49"/>
      <c r="J19" s="49"/>
      <c r="K19" s="49"/>
    </row>
    <row r="20" spans="1:11" x14ac:dyDescent="0.25">
      <c r="A20" s="49"/>
      <c r="B20" s="2214" t="s">
        <v>900</v>
      </c>
      <c r="C20" s="2215"/>
      <c r="D20" s="2215"/>
      <c r="E20" s="2215"/>
      <c r="F20" s="2215"/>
      <c r="G20" s="2215"/>
      <c r="H20" s="2216"/>
      <c r="I20" s="49"/>
      <c r="J20" s="49"/>
      <c r="K20" s="49"/>
    </row>
    <row r="21" spans="1:11" x14ac:dyDescent="0.25">
      <c r="A21" s="49"/>
      <c r="B21" s="2217" t="s">
        <v>901</v>
      </c>
      <c r="C21" s="2218"/>
      <c r="D21" s="2218"/>
      <c r="E21" s="2218"/>
      <c r="F21" s="2218"/>
      <c r="G21" s="2218"/>
      <c r="H21" s="2219"/>
      <c r="I21" s="49"/>
      <c r="J21" s="49"/>
      <c r="K21" s="49"/>
    </row>
    <row r="22" spans="1:11" ht="11.25" customHeight="1" x14ac:dyDescent="0.25">
      <c r="A22" s="49"/>
      <c r="B22" s="423"/>
      <c r="C22" s="49"/>
      <c r="D22" s="49"/>
      <c r="E22" s="49"/>
      <c r="F22" s="49"/>
      <c r="G22" s="49"/>
      <c r="H22" s="49"/>
      <c r="I22" s="49"/>
      <c r="J22" s="49"/>
      <c r="K22" s="49"/>
    </row>
    <row r="23" spans="1:11" x14ac:dyDescent="0.25">
      <c r="A23" s="49"/>
      <c r="B23" s="2220" t="s">
        <v>1142</v>
      </c>
      <c r="C23" s="2221"/>
      <c r="D23" s="2221"/>
      <c r="E23" s="2221"/>
      <c r="F23" s="2221"/>
      <c r="G23" s="2221"/>
      <c r="H23" s="2222"/>
      <c r="I23" s="49"/>
      <c r="J23" s="49"/>
      <c r="K23" s="49"/>
    </row>
    <row r="24" spans="1:11" ht="15" customHeight="1" x14ac:dyDescent="0.25">
      <c r="A24" s="49"/>
      <c r="B24" s="2214" t="s">
        <v>1576</v>
      </c>
      <c r="C24" s="2215"/>
      <c r="D24" s="2215"/>
      <c r="E24" s="2215"/>
      <c r="F24" s="2215"/>
      <c r="G24" s="2215"/>
      <c r="H24" s="2216"/>
      <c r="I24" s="49"/>
      <c r="J24" s="49"/>
      <c r="K24" s="49"/>
    </row>
    <row r="25" spans="1:11" ht="15" customHeight="1" x14ac:dyDescent="0.25">
      <c r="A25" s="49"/>
      <c r="B25" s="2214" t="s">
        <v>903</v>
      </c>
      <c r="C25" s="2215"/>
      <c r="D25" s="2215"/>
      <c r="E25" s="2215"/>
      <c r="F25" s="2215"/>
      <c r="G25" s="2215"/>
      <c r="H25" s="2216"/>
      <c r="I25" s="49"/>
      <c r="J25" s="49"/>
      <c r="K25" s="49"/>
    </row>
    <row r="26" spans="1:11" ht="15" customHeight="1" x14ac:dyDescent="0.25">
      <c r="A26" s="49"/>
      <c r="B26" s="2214" t="s">
        <v>902</v>
      </c>
      <c r="C26" s="2215"/>
      <c r="D26" s="2215"/>
      <c r="E26" s="2215"/>
      <c r="F26" s="2215"/>
      <c r="G26" s="2215"/>
      <c r="H26" s="2216"/>
      <c r="I26" s="49"/>
      <c r="J26" s="49"/>
      <c r="K26" s="49"/>
    </row>
    <row r="27" spans="1:11" ht="15" customHeight="1" x14ac:dyDescent="0.25">
      <c r="A27" s="49"/>
      <c r="B27" s="2217" t="s">
        <v>899</v>
      </c>
      <c r="C27" s="2218"/>
      <c r="D27" s="2218"/>
      <c r="E27" s="2218"/>
      <c r="F27" s="2218"/>
      <c r="G27" s="2218"/>
      <c r="H27" s="2219"/>
      <c r="I27" s="49"/>
      <c r="J27" s="49"/>
      <c r="K27" s="49"/>
    </row>
    <row r="28" spans="1:11" ht="18" customHeight="1" x14ac:dyDescent="0.25">
      <c r="A28" s="49"/>
      <c r="B28" s="423"/>
      <c r="C28" s="50"/>
      <c r="D28" s="50"/>
      <c r="E28" s="50"/>
      <c r="F28" s="49"/>
      <c r="G28" s="49"/>
      <c r="H28" s="49"/>
      <c r="I28" s="49"/>
      <c r="J28" s="49"/>
      <c r="K28" s="49"/>
    </row>
    <row r="29" spans="1:11" ht="18" customHeight="1" x14ac:dyDescent="0.25">
      <c r="A29" s="2180" t="s">
        <v>23</v>
      </c>
      <c r="B29" s="2180"/>
      <c r="C29" s="2180"/>
      <c r="D29" s="2180"/>
      <c r="E29" s="2180"/>
      <c r="F29" s="2180"/>
      <c r="G29" s="2180"/>
      <c r="H29" s="2180"/>
      <c r="I29" s="2180"/>
      <c r="J29" s="2180"/>
      <c r="K29" s="2180"/>
    </row>
    <row r="30" spans="1:11" x14ac:dyDescent="0.25">
      <c r="A30" s="49"/>
      <c r="B30" s="50"/>
      <c r="C30" s="50"/>
      <c r="D30" s="50"/>
      <c r="E30" s="50"/>
      <c r="F30" s="49"/>
      <c r="G30" s="49"/>
      <c r="H30" s="49"/>
      <c r="I30" s="49"/>
      <c r="J30" s="49"/>
      <c r="K30" s="49"/>
    </row>
    <row r="31" spans="1:11" x14ac:dyDescent="0.25">
      <c r="A31" s="49"/>
      <c r="B31" s="673" t="s">
        <v>1150</v>
      </c>
      <c r="C31" s="50"/>
      <c r="D31" s="50"/>
      <c r="E31" s="50"/>
      <c r="F31" s="49"/>
      <c r="G31" s="49"/>
      <c r="H31" s="49"/>
      <c r="I31" s="49"/>
      <c r="J31" s="49"/>
      <c r="K31" s="49"/>
    </row>
    <row r="32" spans="1:11" x14ac:dyDescent="0.25">
      <c r="A32" s="49"/>
      <c r="B32" s="196"/>
      <c r="C32" s="49"/>
      <c r="D32" s="49"/>
      <c r="E32" s="49"/>
      <c r="F32" s="49"/>
      <c r="G32" s="49"/>
      <c r="H32" s="49"/>
      <c r="I32" s="49"/>
      <c r="J32" s="49"/>
      <c r="K32" s="49"/>
    </row>
    <row r="33" spans="1:18" x14ac:dyDescent="0.25">
      <c r="A33" s="49"/>
      <c r="B33" s="674" t="s">
        <v>1151</v>
      </c>
      <c r="C33" s="49"/>
      <c r="D33" s="49"/>
      <c r="E33" s="49"/>
      <c r="F33" s="49"/>
      <c r="G33" s="49"/>
      <c r="H33" s="49"/>
      <c r="I33" s="49"/>
      <c r="J33" s="49"/>
      <c r="K33" s="49"/>
      <c r="M33" s="38" t="s">
        <v>36</v>
      </c>
    </row>
    <row r="34" spans="1:18" x14ac:dyDescent="0.25">
      <c r="A34" s="49"/>
      <c r="B34" s="196"/>
      <c r="C34" s="49"/>
      <c r="D34" s="49"/>
      <c r="E34" s="49"/>
      <c r="F34" s="49"/>
      <c r="G34" s="49"/>
      <c r="H34" s="49"/>
      <c r="I34" s="49"/>
      <c r="J34" s="49"/>
      <c r="K34" s="49"/>
      <c r="M34" s="38" t="s">
        <v>124</v>
      </c>
    </row>
    <row r="35" spans="1:18" x14ac:dyDescent="0.25">
      <c r="A35" s="49"/>
      <c r="B35" s="423" t="s">
        <v>748</v>
      </c>
      <c r="C35" s="50"/>
      <c r="D35" s="50"/>
      <c r="E35" s="49"/>
      <c r="F35" s="49"/>
      <c r="G35" s="49"/>
      <c r="H35" s="49"/>
      <c r="I35" s="49"/>
      <c r="J35" s="49"/>
      <c r="K35" s="49"/>
      <c r="M35" s="38" t="s">
        <v>37</v>
      </c>
    </row>
    <row r="36" spans="1:18" ht="6" customHeight="1" x14ac:dyDescent="0.25">
      <c r="A36" s="49"/>
      <c r="B36" s="423"/>
      <c r="C36" s="50"/>
      <c r="D36" s="50"/>
      <c r="E36" s="49"/>
      <c r="F36" s="49"/>
      <c r="G36" s="49"/>
      <c r="H36" s="49"/>
      <c r="I36" s="49"/>
      <c r="J36" s="49"/>
      <c r="K36" s="49"/>
      <c r="M36" s="8" t="s">
        <v>1408</v>
      </c>
    </row>
    <row r="37" spans="1:18" ht="16.5" customHeight="1" x14ac:dyDescent="0.25">
      <c r="A37" s="49"/>
      <c r="B37" s="2209" t="s">
        <v>237</v>
      </c>
      <c r="C37" s="2210"/>
      <c r="D37" s="166"/>
      <c r="E37" s="49"/>
      <c r="F37" s="49"/>
      <c r="G37" s="49"/>
      <c r="H37" s="49"/>
      <c r="I37" s="49"/>
      <c r="J37" s="49"/>
      <c r="K37" s="49"/>
    </row>
    <row r="38" spans="1:18" ht="16.5" customHeight="1" x14ac:dyDescent="0.25">
      <c r="A38" s="49"/>
      <c r="B38" s="2209" t="s">
        <v>38</v>
      </c>
      <c r="C38" s="2210"/>
      <c r="D38" s="166"/>
      <c r="E38" s="49"/>
      <c r="F38" s="49"/>
      <c r="G38" s="49"/>
      <c r="H38" s="49"/>
      <c r="I38" s="49"/>
      <c r="J38" s="49"/>
      <c r="K38" s="49"/>
    </row>
    <row r="39" spans="1:18" x14ac:dyDescent="0.25">
      <c r="A39" s="49"/>
      <c r="B39" s="50"/>
      <c r="C39" s="50"/>
      <c r="D39" s="50"/>
      <c r="E39" s="50"/>
      <c r="F39" s="49"/>
      <c r="G39" s="49"/>
      <c r="H39" s="49"/>
      <c r="I39" s="49"/>
      <c r="J39" s="49"/>
      <c r="K39" s="49"/>
    </row>
    <row r="40" spans="1:18" ht="23.25" customHeight="1" x14ac:dyDescent="0.25">
      <c r="A40" s="49"/>
      <c r="B40" s="694" t="s">
        <v>39</v>
      </c>
      <c r="C40" s="695" t="s">
        <v>41</v>
      </c>
      <c r="D40" s="696" t="s">
        <v>42</v>
      </c>
      <c r="E40" s="695" t="s">
        <v>40</v>
      </c>
      <c r="F40" s="695" t="s">
        <v>43</v>
      </c>
      <c r="G40" s="2185" t="s">
        <v>30</v>
      </c>
      <c r="H40" s="2186"/>
      <c r="I40" s="49"/>
      <c r="J40" s="49"/>
      <c r="K40" s="49"/>
    </row>
    <row r="41" spans="1:18" x14ac:dyDescent="0.25">
      <c r="A41" s="49"/>
      <c r="B41" s="658"/>
      <c r="C41" s="658" t="s">
        <v>124</v>
      </c>
      <c r="D41" s="658" t="s">
        <v>124</v>
      </c>
      <c r="E41" s="658"/>
      <c r="F41" s="782" t="str">
        <f t="shared" ref="F41:F47" si="0">IF(OR(D41="Select",D41=""),"",IF(D41="No",0,E41))</f>
        <v/>
      </c>
      <c r="G41" s="2212"/>
      <c r="H41" s="2213"/>
      <c r="I41" s="49"/>
      <c r="J41" s="49"/>
      <c r="K41" s="49"/>
      <c r="M41" s="38" t="s">
        <v>44</v>
      </c>
      <c r="N41" s="38" t="s">
        <v>124</v>
      </c>
      <c r="O41" s="38" t="s">
        <v>9</v>
      </c>
      <c r="P41" s="38" t="str">
        <f t="shared" ref="P41:P47" si="1">IF(C41="steep slope","SRI higher than 29","SRI higher than 78")</f>
        <v>SRI higher than 78</v>
      </c>
      <c r="Q41" s="38" t="s">
        <v>45</v>
      </c>
      <c r="R41" s="38" t="s">
        <v>46</v>
      </c>
    </row>
    <row r="42" spans="1:18" x14ac:dyDescent="0.25">
      <c r="A42" s="49"/>
      <c r="B42" s="790"/>
      <c r="C42" s="790" t="s">
        <v>124</v>
      </c>
      <c r="D42" s="790" t="s">
        <v>124</v>
      </c>
      <c r="E42" s="790"/>
      <c r="F42" s="782" t="str">
        <f t="shared" si="0"/>
        <v/>
      </c>
      <c r="G42" s="2212"/>
      <c r="H42" s="2213"/>
      <c r="I42" s="49"/>
      <c r="J42" s="49"/>
      <c r="K42" s="49"/>
      <c r="M42" s="38" t="s">
        <v>44</v>
      </c>
      <c r="N42" s="38" t="s">
        <v>124</v>
      </c>
      <c r="O42" s="38" t="s">
        <v>9</v>
      </c>
      <c r="P42" s="38" t="str">
        <f t="shared" si="1"/>
        <v>SRI higher than 78</v>
      </c>
      <c r="Q42" s="38" t="s">
        <v>45</v>
      </c>
      <c r="R42" s="38" t="s">
        <v>46</v>
      </c>
    </row>
    <row r="43" spans="1:18" x14ac:dyDescent="0.25">
      <c r="A43" s="49"/>
      <c r="B43" s="790"/>
      <c r="C43" s="790" t="s">
        <v>124</v>
      </c>
      <c r="D43" s="790" t="s">
        <v>124</v>
      </c>
      <c r="E43" s="790"/>
      <c r="F43" s="782" t="str">
        <f t="shared" si="0"/>
        <v/>
      </c>
      <c r="G43" s="2212"/>
      <c r="H43" s="2213"/>
      <c r="I43" s="49"/>
      <c r="J43" s="49"/>
      <c r="K43" s="49"/>
      <c r="M43" s="38" t="s">
        <v>44</v>
      </c>
      <c r="N43" s="38" t="s">
        <v>124</v>
      </c>
      <c r="O43" s="38" t="s">
        <v>9</v>
      </c>
      <c r="P43" s="38" t="str">
        <f t="shared" si="1"/>
        <v>SRI higher than 78</v>
      </c>
      <c r="Q43" s="38" t="s">
        <v>45</v>
      </c>
      <c r="R43" s="38" t="s">
        <v>46</v>
      </c>
    </row>
    <row r="44" spans="1:18" x14ac:dyDescent="0.25">
      <c r="A44" s="49"/>
      <c r="B44" s="483"/>
      <c r="C44" s="471" t="s">
        <v>124</v>
      </c>
      <c r="D44" s="471" t="s">
        <v>124</v>
      </c>
      <c r="E44" s="166"/>
      <c r="F44" s="63" t="str">
        <f t="shared" si="0"/>
        <v/>
      </c>
      <c r="G44" s="2212"/>
      <c r="H44" s="2213"/>
      <c r="I44" s="49"/>
      <c r="J44" s="49"/>
      <c r="K44" s="49"/>
      <c r="N44" s="38" t="s">
        <v>124</v>
      </c>
      <c r="O44" s="38" t="s">
        <v>9</v>
      </c>
      <c r="P44" s="38" t="str">
        <f t="shared" si="1"/>
        <v>SRI higher than 78</v>
      </c>
      <c r="Q44" s="38" t="s">
        <v>45</v>
      </c>
      <c r="R44" s="38" t="s">
        <v>46</v>
      </c>
    </row>
    <row r="45" spans="1:18" x14ac:dyDescent="0.25">
      <c r="A45" s="49"/>
      <c r="B45" s="483"/>
      <c r="C45" s="471" t="s">
        <v>124</v>
      </c>
      <c r="D45" s="471" t="s">
        <v>124</v>
      </c>
      <c r="E45" s="166"/>
      <c r="F45" s="63" t="str">
        <f t="shared" si="0"/>
        <v/>
      </c>
      <c r="G45" s="2223"/>
      <c r="H45" s="2224"/>
      <c r="I45" s="49"/>
      <c r="J45" s="49"/>
      <c r="K45" s="49"/>
      <c r="N45" s="38" t="s">
        <v>124</v>
      </c>
      <c r="O45" s="38" t="s">
        <v>9</v>
      </c>
      <c r="P45" s="38" t="str">
        <f t="shared" si="1"/>
        <v>SRI higher than 78</v>
      </c>
      <c r="Q45" s="38" t="s">
        <v>45</v>
      </c>
      <c r="R45" s="38" t="s">
        <v>46</v>
      </c>
    </row>
    <row r="46" spans="1:18" x14ac:dyDescent="0.25">
      <c r="A46" s="49"/>
      <c r="B46" s="483"/>
      <c r="C46" s="471" t="s">
        <v>124</v>
      </c>
      <c r="D46" s="471" t="s">
        <v>124</v>
      </c>
      <c r="E46" s="166"/>
      <c r="F46" s="63" t="str">
        <f t="shared" si="0"/>
        <v/>
      </c>
      <c r="G46" s="2223"/>
      <c r="H46" s="2224"/>
      <c r="I46" s="49"/>
      <c r="J46" s="49"/>
      <c r="K46" s="49"/>
      <c r="N46" s="38" t="s">
        <v>124</v>
      </c>
      <c r="O46" s="38" t="s">
        <v>9</v>
      </c>
      <c r="P46" s="38" t="str">
        <f t="shared" si="1"/>
        <v>SRI higher than 78</v>
      </c>
      <c r="Q46" s="38" t="s">
        <v>45</v>
      </c>
      <c r="R46" s="38" t="s">
        <v>46</v>
      </c>
    </row>
    <row r="47" spans="1:18" x14ac:dyDescent="0.25">
      <c r="A47" s="49"/>
      <c r="B47" s="483"/>
      <c r="C47" s="471" t="s">
        <v>124</v>
      </c>
      <c r="D47" s="471" t="s">
        <v>124</v>
      </c>
      <c r="E47" s="166"/>
      <c r="F47" s="214" t="str">
        <f t="shared" si="0"/>
        <v/>
      </c>
      <c r="G47" s="2212"/>
      <c r="H47" s="2213"/>
      <c r="I47" s="49"/>
      <c r="J47" s="49"/>
      <c r="K47" s="49"/>
      <c r="N47" s="38" t="s">
        <v>124</v>
      </c>
      <c r="O47" s="38" t="s">
        <v>9</v>
      </c>
      <c r="P47" s="38" t="str">
        <f t="shared" si="1"/>
        <v>SRI higher than 78</v>
      </c>
      <c r="Q47" s="38" t="s">
        <v>45</v>
      </c>
      <c r="R47" s="38" t="s">
        <v>46</v>
      </c>
    </row>
    <row r="48" spans="1:18" ht="16.5" customHeight="1" x14ac:dyDescent="0.25">
      <c r="A48" s="49"/>
      <c r="B48" s="50"/>
      <c r="C48" s="50"/>
      <c r="D48" s="50"/>
      <c r="E48" s="57">
        <f>SUM(E41:E47)</f>
        <v>0</v>
      </c>
      <c r="F48" s="57">
        <f>SUM(F41:F47)</f>
        <v>0</v>
      </c>
      <c r="G48" s="781"/>
      <c r="H48" s="739"/>
      <c r="I48" s="49"/>
      <c r="J48" s="49"/>
      <c r="K48" s="49"/>
    </row>
    <row r="49" spans="1:19" x14ac:dyDescent="0.25">
      <c r="A49" s="49"/>
      <c r="B49" s="423"/>
      <c r="C49" s="49"/>
      <c r="D49" s="49"/>
      <c r="E49" s="49"/>
      <c r="F49" s="49"/>
      <c r="G49" s="49"/>
      <c r="H49" s="49"/>
      <c r="I49" s="49"/>
      <c r="J49" s="49"/>
      <c r="K49" s="49"/>
    </row>
    <row r="50" spans="1:19" x14ac:dyDescent="0.25">
      <c r="A50" s="49"/>
      <c r="B50" s="691" t="s">
        <v>749</v>
      </c>
      <c r="C50" s="50"/>
      <c r="D50" s="50"/>
      <c r="E50" s="50"/>
      <c r="F50" s="49"/>
      <c r="G50" s="49"/>
      <c r="H50" s="49"/>
      <c r="I50" s="49"/>
      <c r="J50" s="49"/>
      <c r="K50" s="49"/>
    </row>
    <row r="51" spans="1:19" ht="6" customHeight="1" x14ac:dyDescent="0.25">
      <c r="A51" s="49"/>
      <c r="B51" s="423"/>
      <c r="C51" s="50"/>
      <c r="D51" s="50"/>
      <c r="E51" s="50"/>
      <c r="F51" s="49"/>
      <c r="G51" s="49"/>
      <c r="H51" s="49"/>
      <c r="I51" s="49"/>
      <c r="J51" s="49"/>
      <c r="K51" s="49"/>
    </row>
    <row r="52" spans="1:19" ht="16.5" customHeight="1" x14ac:dyDescent="0.25">
      <c r="A52" s="49"/>
      <c r="B52" s="2209" t="s">
        <v>238</v>
      </c>
      <c r="C52" s="2211"/>
      <c r="D52" s="166"/>
      <c r="E52" s="50"/>
      <c r="F52" s="49"/>
      <c r="G52" s="49"/>
      <c r="H52" s="49"/>
      <c r="I52" s="49"/>
      <c r="J52" s="49"/>
      <c r="K52" s="49"/>
    </row>
    <row r="53" spans="1:19" ht="16.5" customHeight="1" x14ac:dyDescent="0.25">
      <c r="A53" s="49"/>
      <c r="B53" s="2209" t="s">
        <v>38</v>
      </c>
      <c r="C53" s="2211"/>
      <c r="D53" s="166"/>
      <c r="E53" s="50"/>
      <c r="F53" s="49"/>
      <c r="G53" s="49"/>
      <c r="H53" s="49"/>
      <c r="I53" s="49"/>
      <c r="J53" s="49"/>
      <c r="K53" s="49"/>
    </row>
    <row r="54" spans="1:19" x14ac:dyDescent="0.25">
      <c r="A54" s="49"/>
      <c r="B54" s="50"/>
      <c r="C54" s="50"/>
      <c r="D54" s="50"/>
      <c r="E54" s="50"/>
      <c r="F54" s="49"/>
      <c r="G54" s="49"/>
      <c r="H54" s="49"/>
      <c r="I54" s="49"/>
      <c r="J54" s="49"/>
      <c r="K54" s="49"/>
    </row>
    <row r="55" spans="1:19" ht="20.25" customHeight="1" x14ac:dyDescent="0.25">
      <c r="A55" s="49"/>
      <c r="B55" s="694" t="s">
        <v>39</v>
      </c>
      <c r="C55" s="695" t="s">
        <v>42</v>
      </c>
      <c r="D55" s="695" t="s">
        <v>40</v>
      </c>
      <c r="E55" s="695" t="s">
        <v>43</v>
      </c>
      <c r="F55" s="2185" t="s">
        <v>30</v>
      </c>
      <c r="G55" s="2186"/>
      <c r="H55" s="49"/>
      <c r="I55" s="49"/>
      <c r="J55" s="49"/>
      <c r="K55" s="49"/>
      <c r="M55" s="38" t="s">
        <v>47</v>
      </c>
      <c r="N55" s="38" t="s">
        <v>124</v>
      </c>
      <c r="O55" s="38" t="s">
        <v>9</v>
      </c>
      <c r="P55" s="38" t="s">
        <v>179</v>
      </c>
      <c r="Q55" s="38" t="s">
        <v>180</v>
      </c>
      <c r="R55" s="38" t="s">
        <v>181</v>
      </c>
      <c r="S55" s="38" t="s">
        <v>182</v>
      </c>
    </row>
    <row r="56" spans="1:19" x14ac:dyDescent="0.25">
      <c r="A56" s="49"/>
      <c r="B56" s="658"/>
      <c r="C56" s="658" t="s">
        <v>124</v>
      </c>
      <c r="D56" s="658"/>
      <c r="E56" s="392" t="str">
        <f t="shared" ref="E56:E62" si="2">IF(OR(C56="Select",C56=""),"",IF(C56="No",0,D56))</f>
        <v/>
      </c>
      <c r="F56" s="2212"/>
      <c r="G56" s="2213"/>
      <c r="H56" s="49"/>
      <c r="I56" s="49"/>
      <c r="J56" s="49"/>
      <c r="K56" s="49"/>
      <c r="N56" s="38" t="s">
        <v>124</v>
      </c>
      <c r="O56" s="38" t="s">
        <v>9</v>
      </c>
      <c r="P56" s="38" t="s">
        <v>179</v>
      </c>
      <c r="Q56" s="38" t="s">
        <v>183</v>
      </c>
      <c r="R56" s="38" t="s">
        <v>181</v>
      </c>
      <c r="S56" s="38" t="s">
        <v>182</v>
      </c>
    </row>
    <row r="57" spans="1:19" x14ac:dyDescent="0.25">
      <c r="A57" s="49"/>
      <c r="B57" s="790"/>
      <c r="C57" s="790" t="s">
        <v>124</v>
      </c>
      <c r="D57" s="790"/>
      <c r="E57" s="392" t="str">
        <f t="shared" si="2"/>
        <v/>
      </c>
      <c r="F57" s="2212"/>
      <c r="G57" s="2213"/>
      <c r="H57" s="49"/>
      <c r="I57" s="49"/>
      <c r="J57" s="49"/>
      <c r="K57" s="49"/>
      <c r="N57" s="38" t="s">
        <v>124</v>
      </c>
      <c r="O57" s="38" t="s">
        <v>9</v>
      </c>
      <c r="P57" s="38" t="s">
        <v>179</v>
      </c>
      <c r="Q57" s="38" t="s">
        <v>183</v>
      </c>
      <c r="R57" s="38" t="s">
        <v>181</v>
      </c>
      <c r="S57" s="38" t="s">
        <v>182</v>
      </c>
    </row>
    <row r="58" spans="1:19" x14ac:dyDescent="0.25">
      <c r="A58" s="49"/>
      <c r="B58" s="790"/>
      <c r="C58" s="790" t="s">
        <v>124</v>
      </c>
      <c r="D58" s="790"/>
      <c r="E58" s="392" t="str">
        <f t="shared" si="2"/>
        <v/>
      </c>
      <c r="F58" s="2212"/>
      <c r="G58" s="2213"/>
      <c r="H58" s="49"/>
      <c r="I58" s="49"/>
      <c r="J58" s="49"/>
      <c r="K58" s="49"/>
      <c r="N58" s="38" t="s">
        <v>124</v>
      </c>
      <c r="O58" s="38" t="s">
        <v>9</v>
      </c>
      <c r="P58" s="38" t="s">
        <v>179</v>
      </c>
      <c r="Q58" s="38" t="s">
        <v>183</v>
      </c>
      <c r="R58" s="38" t="s">
        <v>181</v>
      </c>
      <c r="S58" s="38" t="s">
        <v>182</v>
      </c>
    </row>
    <row r="59" spans="1:19" x14ac:dyDescent="0.25">
      <c r="A59" s="49"/>
      <c r="B59" s="483"/>
      <c r="C59" s="471" t="s">
        <v>124</v>
      </c>
      <c r="D59" s="166"/>
      <c r="E59" s="63" t="str">
        <f t="shared" si="2"/>
        <v/>
      </c>
      <c r="F59" s="2212"/>
      <c r="G59" s="2213"/>
      <c r="H59" s="49"/>
      <c r="I59" s="49"/>
      <c r="J59" s="49"/>
      <c r="K59" s="49"/>
      <c r="N59" s="38" t="s">
        <v>124</v>
      </c>
      <c r="O59" s="38" t="s">
        <v>9</v>
      </c>
      <c r="P59" s="38" t="s">
        <v>179</v>
      </c>
      <c r="Q59" s="38" t="s">
        <v>184</v>
      </c>
      <c r="R59" s="38" t="s">
        <v>181</v>
      </c>
      <c r="S59" s="38" t="s">
        <v>182</v>
      </c>
    </row>
    <row r="60" spans="1:19" x14ac:dyDescent="0.25">
      <c r="A60" s="49"/>
      <c r="B60" s="483"/>
      <c r="C60" s="471" t="s">
        <v>124</v>
      </c>
      <c r="D60" s="166"/>
      <c r="E60" s="63" t="str">
        <f t="shared" si="2"/>
        <v/>
      </c>
      <c r="F60" s="2223"/>
      <c r="G60" s="2224"/>
      <c r="H60" s="49"/>
      <c r="I60" s="49"/>
      <c r="J60" s="49"/>
      <c r="K60" s="49"/>
      <c r="N60" s="38" t="s">
        <v>124</v>
      </c>
      <c r="O60" s="38" t="s">
        <v>9</v>
      </c>
      <c r="P60" s="38" t="s">
        <v>179</v>
      </c>
      <c r="Q60" s="38" t="s">
        <v>185</v>
      </c>
      <c r="R60" s="38" t="s">
        <v>181</v>
      </c>
      <c r="S60" s="38" t="s">
        <v>182</v>
      </c>
    </row>
    <row r="61" spans="1:19" x14ac:dyDescent="0.25">
      <c r="A61" s="49"/>
      <c r="B61" s="483"/>
      <c r="C61" s="471" t="s">
        <v>124</v>
      </c>
      <c r="D61" s="166"/>
      <c r="E61" s="63" t="str">
        <f t="shared" si="2"/>
        <v/>
      </c>
      <c r="F61" s="2223"/>
      <c r="G61" s="2224"/>
      <c r="H61" s="49"/>
      <c r="I61" s="49"/>
      <c r="J61" s="49"/>
      <c r="K61" s="49"/>
      <c r="N61" s="38" t="s">
        <v>124</v>
      </c>
      <c r="O61" s="38" t="s">
        <v>9</v>
      </c>
      <c r="P61" s="38" t="s">
        <v>179</v>
      </c>
      <c r="Q61" s="38" t="s">
        <v>185</v>
      </c>
      <c r="R61" s="38" t="s">
        <v>181</v>
      </c>
      <c r="S61" s="38" t="s">
        <v>182</v>
      </c>
    </row>
    <row r="62" spans="1:19" x14ac:dyDescent="0.25">
      <c r="A62" s="49"/>
      <c r="B62" s="483"/>
      <c r="C62" s="471" t="s">
        <v>124</v>
      </c>
      <c r="D62" s="166"/>
      <c r="E62" s="63" t="str">
        <f t="shared" si="2"/>
        <v/>
      </c>
      <c r="F62" s="2212"/>
      <c r="G62" s="2213"/>
      <c r="H62" s="49"/>
      <c r="I62" s="49"/>
      <c r="J62" s="49"/>
      <c r="K62" s="49"/>
    </row>
    <row r="63" spans="1:19" ht="16.5" customHeight="1" x14ac:dyDescent="0.25">
      <c r="A63" s="49"/>
      <c r="B63" s="50"/>
      <c r="C63" s="50"/>
      <c r="D63" s="57">
        <f>SUM(D56:D62)</f>
        <v>0</v>
      </c>
      <c r="E63" s="57">
        <f>SUM(E56:E62)</f>
        <v>0</v>
      </c>
      <c r="F63" s="49"/>
      <c r="G63" s="49"/>
      <c r="H63" s="49"/>
      <c r="I63" s="49"/>
      <c r="J63" s="49"/>
      <c r="K63" s="49"/>
    </row>
    <row r="64" spans="1:19" x14ac:dyDescent="0.25">
      <c r="A64" s="49"/>
      <c r="B64" s="50"/>
      <c r="C64" s="50"/>
      <c r="D64" s="424" t="str">
        <f>IF(D63=0,"",IF(D63&lt;&gt;D52-D53,"It is necessary to have the areas match together",""))</f>
        <v/>
      </c>
      <c r="E64" s="49"/>
      <c r="F64" s="49"/>
      <c r="G64" s="49"/>
      <c r="H64" s="49"/>
      <c r="I64" s="49"/>
      <c r="J64" s="49"/>
      <c r="K64" s="49"/>
    </row>
    <row r="65" spans="1:11" x14ac:dyDescent="0.25">
      <c r="A65" s="49"/>
      <c r="B65" s="691" t="s">
        <v>905</v>
      </c>
      <c r="C65" s="50"/>
      <c r="D65" s="68"/>
      <c r="E65" s="68"/>
      <c r="F65" s="49"/>
      <c r="G65" s="49"/>
      <c r="H65" s="49"/>
      <c r="I65" s="49"/>
      <c r="J65" s="49"/>
      <c r="K65" s="49"/>
    </row>
    <row r="66" spans="1:11" ht="6" customHeight="1" x14ac:dyDescent="0.25">
      <c r="A66" s="49"/>
      <c r="B66" s="423"/>
      <c r="C66" s="50"/>
      <c r="D66" s="68"/>
      <c r="E66" s="68"/>
      <c r="F66" s="49"/>
      <c r="G66" s="49"/>
      <c r="H66" s="49"/>
      <c r="I66" s="49"/>
      <c r="J66" s="49"/>
      <c r="K66" s="49"/>
    </row>
    <row r="67" spans="1:11" ht="18" customHeight="1" x14ac:dyDescent="0.25">
      <c r="A67" s="49"/>
      <c r="B67" s="2191" t="s">
        <v>1169</v>
      </c>
      <c r="C67" s="2193"/>
      <c r="D67" s="693">
        <f>D52+D37-D38-D53</f>
        <v>0</v>
      </c>
      <c r="E67" s="68"/>
      <c r="F67" s="49"/>
      <c r="G67" s="49"/>
      <c r="H67" s="49"/>
      <c r="I67" s="49"/>
      <c r="J67" s="49"/>
      <c r="K67" s="49"/>
    </row>
    <row r="68" spans="1:11" ht="18" customHeight="1" x14ac:dyDescent="0.25">
      <c r="A68" s="49"/>
      <c r="B68" s="2191" t="s">
        <v>1168</v>
      </c>
      <c r="C68" s="2193"/>
      <c r="D68" s="693">
        <f>E63+F48</f>
        <v>0</v>
      </c>
      <c r="E68" s="68"/>
      <c r="F68" s="49"/>
      <c r="G68" s="49"/>
      <c r="H68" s="49"/>
      <c r="I68" s="49"/>
      <c r="J68" s="49"/>
      <c r="K68" s="49"/>
    </row>
    <row r="69" spans="1:11" ht="18" customHeight="1" x14ac:dyDescent="0.25">
      <c r="A69" s="49"/>
      <c r="B69" s="50"/>
      <c r="C69" s="50"/>
      <c r="D69" s="50"/>
      <c r="E69" s="50"/>
      <c r="F69" s="49"/>
      <c r="G69" s="49"/>
      <c r="H69" s="49"/>
      <c r="I69" s="49"/>
      <c r="J69" s="49"/>
      <c r="K69" s="49"/>
    </row>
    <row r="70" spans="1:11" ht="18" customHeight="1" x14ac:dyDescent="0.25">
      <c r="A70" s="49"/>
      <c r="B70" s="2169" t="s">
        <v>35</v>
      </c>
      <c r="C70" s="2169"/>
      <c r="D70" s="2169"/>
      <c r="E70" s="692" t="str">
        <f>IF(OR(D63&lt;&gt;D52-D53,E48&lt;&gt;D37-D38),"",IFERROR(D68/D67,""))</f>
        <v/>
      </c>
      <c r="F70" s="425" t="str">
        <f>IF(OR(D63&lt;&gt;D52-D53,E48&lt;&gt;D37-D38),"Please fully complete the tables","")</f>
        <v/>
      </c>
      <c r="G70" s="49"/>
      <c r="H70" s="49"/>
      <c r="I70" s="49"/>
      <c r="J70" s="49"/>
      <c r="K70" s="49"/>
    </row>
    <row r="71" spans="1:11" ht="18" customHeight="1" x14ac:dyDescent="0.25">
      <c r="A71" s="49"/>
      <c r="B71" s="50"/>
      <c r="C71" s="50"/>
      <c r="D71" s="50"/>
      <c r="E71" s="50"/>
      <c r="F71" s="49"/>
      <c r="G71" s="49"/>
      <c r="H71" s="49"/>
      <c r="I71" s="49"/>
      <c r="J71" s="49"/>
      <c r="K71" s="49"/>
    </row>
    <row r="72" spans="1:11" ht="18" customHeight="1" x14ac:dyDescent="0.25">
      <c r="A72" s="2180" t="s">
        <v>186</v>
      </c>
      <c r="B72" s="2180"/>
      <c r="C72" s="2180"/>
      <c r="D72" s="2180"/>
      <c r="E72" s="2180"/>
      <c r="F72" s="2180"/>
      <c r="G72" s="2180"/>
      <c r="H72" s="2180"/>
      <c r="I72" s="2180"/>
      <c r="J72" s="2180"/>
      <c r="K72" s="2180"/>
    </row>
    <row r="73" spans="1:11" x14ac:dyDescent="0.25">
      <c r="A73" s="49"/>
      <c r="B73" s="49"/>
      <c r="C73" s="49"/>
      <c r="D73" s="49"/>
      <c r="E73" s="49"/>
      <c r="F73" s="49"/>
      <c r="G73" s="49"/>
      <c r="H73" s="49"/>
      <c r="I73" s="49"/>
      <c r="J73" s="49"/>
      <c r="K73" s="49"/>
    </row>
    <row r="74" spans="1:11" ht="18" customHeight="1" x14ac:dyDescent="0.25">
      <c r="A74" s="49"/>
      <c r="B74" s="2183" t="s">
        <v>1739</v>
      </c>
      <c r="C74" s="2184"/>
      <c r="D74" s="2184"/>
      <c r="E74" s="2184"/>
      <c r="F74" s="2184"/>
      <c r="G74" s="1100" t="s">
        <v>1737</v>
      </c>
      <c r="H74" s="2185" t="s">
        <v>1738</v>
      </c>
      <c r="I74" s="2186"/>
      <c r="J74" s="49"/>
      <c r="K74" s="49"/>
    </row>
    <row r="75" spans="1:11" ht="24" customHeight="1" x14ac:dyDescent="0.25">
      <c r="A75" s="49"/>
      <c r="B75" s="1576" t="s">
        <v>1154</v>
      </c>
      <c r="C75" s="1577"/>
      <c r="D75" s="1577"/>
      <c r="E75" s="1577"/>
      <c r="F75" s="1578"/>
      <c r="G75" s="471" t="s">
        <v>124</v>
      </c>
      <c r="H75" s="1931"/>
      <c r="I75" s="1932"/>
      <c r="J75" s="49"/>
      <c r="K75" s="49"/>
    </row>
    <row r="76" spans="1:11" ht="24" customHeight="1" x14ac:dyDescent="0.25">
      <c r="A76" s="49"/>
      <c r="B76" s="1576" t="s">
        <v>1155</v>
      </c>
      <c r="C76" s="1577"/>
      <c r="D76" s="1577"/>
      <c r="E76" s="1577"/>
      <c r="F76" s="1578"/>
      <c r="G76" s="471" t="s">
        <v>124</v>
      </c>
      <c r="H76" s="1931"/>
      <c r="I76" s="1932"/>
      <c r="J76" s="49"/>
      <c r="K76" s="49"/>
    </row>
    <row r="77" spans="1:11" ht="18" customHeight="1" x14ac:dyDescent="0.25">
      <c r="A77" s="49"/>
      <c r="B77" s="49"/>
      <c r="C77" s="49"/>
      <c r="D77" s="49"/>
      <c r="E77" s="49"/>
      <c r="F77" s="49"/>
      <c r="G77" s="49"/>
      <c r="H77" s="49"/>
      <c r="I77" s="49"/>
      <c r="J77" s="49"/>
      <c r="K77" s="49"/>
    </row>
    <row r="78" spans="1:11" ht="18" customHeight="1" x14ac:dyDescent="0.25">
      <c r="A78" s="2180" t="s">
        <v>22</v>
      </c>
      <c r="B78" s="2180"/>
      <c r="C78" s="2180"/>
      <c r="D78" s="2180"/>
      <c r="E78" s="2180"/>
      <c r="F78" s="2180"/>
      <c r="G78" s="2180"/>
      <c r="H78" s="2180"/>
      <c r="I78" s="2180"/>
      <c r="J78" s="2180"/>
      <c r="K78" s="2180"/>
    </row>
    <row r="79" spans="1:11" ht="16.5" customHeight="1" x14ac:dyDescent="0.25">
      <c r="A79" s="49"/>
      <c r="B79" s="50"/>
      <c r="C79" s="50"/>
      <c r="D79" s="50"/>
      <c r="E79" s="50"/>
      <c r="F79" s="49"/>
      <c r="G79" s="49"/>
      <c r="H79" s="49"/>
      <c r="I79" s="49"/>
      <c r="J79" s="49"/>
      <c r="K79" s="49"/>
    </row>
    <row r="80" spans="1:11" ht="18" customHeight="1" x14ac:dyDescent="0.25">
      <c r="A80" s="49"/>
      <c r="B80" s="236" t="s">
        <v>53</v>
      </c>
      <c r="C80" s="10">
        <f>IF(E70="",0,IF(E70&gt;=0.5,2,IF(E70&gt;=0.3,1,0)))</f>
        <v>0</v>
      </c>
      <c r="D80" s="50"/>
      <c r="E80" s="50"/>
      <c r="F80" s="49"/>
      <c r="G80" s="49"/>
      <c r="H80" s="49"/>
      <c r="I80" s="49"/>
      <c r="J80" s="49"/>
      <c r="K80" s="49"/>
    </row>
    <row r="81" spans="1:11" ht="18" customHeight="1" x14ac:dyDescent="0.25">
      <c r="A81" s="49"/>
      <c r="B81" s="237" t="s">
        <v>492</v>
      </c>
      <c r="C81" s="181" t="str">
        <f>IF(AND(COUNTIF(G75:G76,"Submitted")=2,C80&gt;0),"Yes","No")</f>
        <v>No</v>
      </c>
      <c r="D81" s="49"/>
      <c r="E81" s="49"/>
      <c r="F81" s="49"/>
      <c r="G81" s="49"/>
      <c r="H81" s="49"/>
      <c r="I81" s="49"/>
      <c r="J81" s="49"/>
      <c r="K81" s="49"/>
    </row>
    <row r="82" spans="1:11" ht="20.25" customHeight="1" x14ac:dyDescent="0.25">
      <c r="A82" s="49"/>
      <c r="B82" s="49"/>
      <c r="C82" s="49"/>
      <c r="D82" s="49"/>
      <c r="E82" s="49"/>
      <c r="F82" s="49"/>
      <c r="G82" s="49"/>
      <c r="H82" s="49"/>
      <c r="I82" s="49"/>
      <c r="J82" s="49"/>
      <c r="K82" s="49"/>
    </row>
    <row r="83" spans="1:11" hidden="1" x14ac:dyDescent="0.25"/>
    <row r="84" spans="1:11" hidden="1" x14ac:dyDescent="0.25"/>
    <row r="85" spans="1:11" hidden="1" x14ac:dyDescent="0.25"/>
    <row r="86" spans="1:11" hidden="1" x14ac:dyDescent="0.25"/>
    <row r="87" spans="1:11" hidden="1" x14ac:dyDescent="0.25"/>
  </sheetData>
  <sheetProtection algorithmName="SHA-512" hashValue="LfnJcVy+ceEonWcCUleEElCW8CeC1i53b5NMbnQxAKmf0VVilm9jytkclLmxjGu40/qkLwlc9VACAZlgLwkQ4w==" saltValue="xEArjPIF6r29PwcEK8/efQ==" spinCount="100000" sheet="1" objects="1" scenarios="1"/>
  <mergeCells count="48">
    <mergeCell ref="B24:H24"/>
    <mergeCell ref="B74:F74"/>
    <mergeCell ref="H74:I74"/>
    <mergeCell ref="H75:I75"/>
    <mergeCell ref="H76:I76"/>
    <mergeCell ref="B70:D70"/>
    <mergeCell ref="F56:G56"/>
    <mergeCell ref="F59:G59"/>
    <mergeCell ref="F61:G61"/>
    <mergeCell ref="F60:G60"/>
    <mergeCell ref="F57:G57"/>
    <mergeCell ref="G41:H41"/>
    <mergeCell ref="G44:H44"/>
    <mergeCell ref="G45:H45"/>
    <mergeCell ref="G46:H46"/>
    <mergeCell ref="G47:H47"/>
    <mergeCell ref="A1:K1"/>
    <mergeCell ref="A5:K7"/>
    <mergeCell ref="G2:H4"/>
    <mergeCell ref="F58:G58"/>
    <mergeCell ref="G42:H42"/>
    <mergeCell ref="B25:H25"/>
    <mergeCell ref="B26:H26"/>
    <mergeCell ref="B27:H27"/>
    <mergeCell ref="B21:H21"/>
    <mergeCell ref="B19:H19"/>
    <mergeCell ref="B20:H20"/>
    <mergeCell ref="B23:H23"/>
    <mergeCell ref="B18:H18"/>
    <mergeCell ref="B12:E12"/>
    <mergeCell ref="B38:C38"/>
    <mergeCell ref="G40:H40"/>
    <mergeCell ref="A78:K78"/>
    <mergeCell ref="A14:K14"/>
    <mergeCell ref="A9:K9"/>
    <mergeCell ref="B67:C67"/>
    <mergeCell ref="B68:C68"/>
    <mergeCell ref="B37:C37"/>
    <mergeCell ref="B52:C52"/>
    <mergeCell ref="B53:C53"/>
    <mergeCell ref="A29:K29"/>
    <mergeCell ref="A72:K72"/>
    <mergeCell ref="B76:F76"/>
    <mergeCell ref="B11:E11"/>
    <mergeCell ref="F62:G62"/>
    <mergeCell ref="F55:G55"/>
    <mergeCell ref="G43:H43"/>
    <mergeCell ref="B75:F75"/>
  </mergeCells>
  <conditionalFormatting sqref="G75">
    <cfRule type="expression" dxfId="67" priority="5">
      <formula>#REF!&lt;&gt;"Prescriptive Path"</formula>
    </cfRule>
  </conditionalFormatting>
  <conditionalFormatting sqref="G76">
    <cfRule type="expression" dxfId="66" priority="4">
      <formula>#REF!&lt;&gt;"Prescriptive Path"</formula>
    </cfRule>
  </conditionalFormatting>
  <conditionalFormatting sqref="H74:I74">
    <cfRule type="expression" dxfId="65" priority="3">
      <formula>#REF!&lt;&gt;"Prescriptive Path"</formula>
    </cfRule>
  </conditionalFormatting>
  <conditionalFormatting sqref="H75">
    <cfRule type="expression" dxfId="64" priority="2">
      <formula>#REF!&lt;&gt;"Prescriptive Path"</formula>
    </cfRule>
  </conditionalFormatting>
  <conditionalFormatting sqref="H76">
    <cfRule type="expression" dxfId="63" priority="1">
      <formula>#REF!&lt;&gt;"Prescriptive Path"</formula>
    </cfRule>
  </conditionalFormatting>
  <dataValidations count="7">
    <dataValidation type="list" allowBlank="1" showInputMessage="1" showErrorMessage="1" prompt="low sloped roof: less than 2:12 rise over run (i.e. less than 9,46° / 16.6%)" sqref="C41:C47" xr:uid="{00000000-0002-0000-2C00-000000000000}">
      <formula1>slope</formula1>
    </dataValidation>
    <dataValidation type="list" allowBlank="1" showInputMessage="1" showErrorMessage="1" sqref="G75:G76" xr:uid="{00000000-0002-0000-2C00-000001000000}">
      <formula1>"Submitted,Not submitted"</formula1>
    </dataValidation>
    <dataValidation allowBlank="1" showInputMessage="1" showErrorMessage="1" prompt="low sloped roof: less than 2:12 rise over run (i.e. less than 9,46° / 16.6%)" sqref="C40" xr:uid="{00000000-0002-0000-2C00-000002000000}"/>
    <dataValidation type="list" allowBlank="1" showInputMessage="1" showErrorMessage="1" sqref="D41:D47" xr:uid="{00000000-0002-0000-2C00-000003000000}">
      <formula1>$N41:$R41</formula1>
    </dataValidation>
    <dataValidation type="list" allowBlank="1" showInputMessage="1" showErrorMessage="1" sqref="C56:C62" xr:uid="{00000000-0002-0000-2C00-000004000000}">
      <formula1>$N$55:$S$55</formula1>
    </dataValidation>
    <dataValidation allowBlank="1" showInputMessage="1" showErrorMessage="1" prompt="Enter the name of the surface type" sqref="B56:B62 B41:B47" xr:uid="{00000000-0002-0000-2C00-000005000000}"/>
    <dataValidation allowBlank="1" showInputMessage="1" showErrorMessage="1" prompt="Provide details on the surface installed, on the value of SRI of the surface, etc." sqref="F56:F62 G41:G47" xr:uid="{00000000-0002-0000-2C00-000006000000}"/>
  </dataValidations>
  <hyperlinks>
    <hyperlink ref="J2" location="'LE-5 Storm Water Runoff'!B3" tooltip="LE-5" display="LE-5" xr:uid="{00000000-0004-0000-2C00-000000000000}"/>
    <hyperlink ref="I3" location="'LE-2 Site design'!B3" tooltip="LE-2" display="LE-2" xr:uid="{00000000-0004-0000-2C00-000001000000}"/>
    <hyperlink ref="I4" location="'LE-3 Vegetation'!D3" tooltip="LE-3" display="LE-3" xr:uid="{00000000-0004-0000-2C00-000002000000}"/>
    <hyperlink ref="J4" location="'LE-7 Refrigerants'!E3" tooltip="LE-7" display="LE-7" xr:uid="{00000000-0004-0000-2C00-000003000000}"/>
    <hyperlink ref="J3" location="'LE-6 Flood Risk Mitigation'!E3" tooltip="LE-6" display="LE-6" xr:uid="{00000000-0004-0000-2C00-000004000000}"/>
    <hyperlink ref="I2" location="'LE-1 Site Selection'!B3" tooltip="LE-1" display="LE-1" xr:uid="{00000000-0004-0000-2C00-000005000000}"/>
    <hyperlink ref="K3" location="'LE-8 Recycling Storage Area'!B3" tooltip="LE-8" display="LE-8" xr:uid="{00000000-0004-0000-2C00-000006000000}"/>
  </hyperlinks>
  <pageMargins left="0.7" right="0.7" top="0.75" bottom="0.75" header="0.3" footer="0.3"/>
  <pageSetup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8">
    <tabColor rgb="FF76923C"/>
  </sheetPr>
  <dimension ref="A1:N63"/>
  <sheetViews>
    <sheetView showRowColHeaders="0" workbookViewId="0">
      <pane ySplit="8" topLeftCell="A9" activePane="bottomLeft" state="frozen"/>
      <selection activeCell="M21" sqref="M21"/>
      <selection pane="bottomLeft" activeCell="J4" sqref="J4"/>
    </sheetView>
  </sheetViews>
  <sheetFormatPr defaultColWidth="0" defaultRowHeight="15" zeroHeight="1" x14ac:dyDescent="0.25"/>
  <cols>
    <col min="1" max="1" width="3.42578125" style="38" customWidth="1"/>
    <col min="2" max="2" width="19.7109375" style="38" customWidth="1"/>
    <col min="3" max="3" width="13.28515625" style="38" customWidth="1"/>
    <col min="4" max="5" width="20.7109375" style="38" customWidth="1"/>
    <col min="6" max="8" width="18.7109375" style="38" customWidth="1"/>
    <col min="9" max="11" width="8.7109375" style="38" customWidth="1"/>
    <col min="12" max="12" width="8" style="38" hidden="1" customWidth="1"/>
    <col min="13" max="13" width="17.5703125" style="38" hidden="1" customWidth="1"/>
    <col min="14" max="14" width="12.140625" style="38" hidden="1" customWidth="1"/>
    <col min="15" max="16384" width="9.140625" style="38" hidden="1"/>
  </cols>
  <sheetData>
    <row r="1" spans="1:14" ht="23.25" x14ac:dyDescent="0.25">
      <c r="A1" s="1348" t="s">
        <v>236</v>
      </c>
      <c r="B1" s="1348"/>
      <c r="C1" s="1348"/>
      <c r="D1" s="1348"/>
      <c r="E1" s="1348"/>
      <c r="F1" s="1348"/>
      <c r="G1" s="1348"/>
      <c r="H1" s="1348"/>
      <c r="I1" s="1348"/>
      <c r="J1" s="1348"/>
      <c r="K1" s="1348"/>
    </row>
    <row r="2" spans="1:14" ht="15" customHeight="1" x14ac:dyDescent="0.25">
      <c r="A2" s="49"/>
      <c r="B2" s="50"/>
      <c r="C2" s="50"/>
      <c r="D2" s="50"/>
      <c r="E2" s="50"/>
      <c r="F2" s="49"/>
      <c r="G2" s="1585" t="s">
        <v>1761</v>
      </c>
      <c r="H2" s="1585"/>
      <c r="I2" s="230" t="s">
        <v>57</v>
      </c>
      <c r="J2" s="230" t="s">
        <v>69</v>
      </c>
      <c r="K2" s="230"/>
    </row>
    <row r="3" spans="1:14" ht="15" customHeight="1" x14ac:dyDescent="0.25">
      <c r="A3" s="49"/>
      <c r="B3" s="50"/>
      <c r="C3" s="50"/>
      <c r="D3" s="50"/>
      <c r="E3" s="50"/>
      <c r="F3" s="49"/>
      <c r="G3" s="1585"/>
      <c r="H3" s="1585"/>
      <c r="I3" s="230" t="s">
        <v>61</v>
      </c>
      <c r="J3" s="230" t="s">
        <v>77</v>
      </c>
      <c r="K3" s="230" t="s">
        <v>155</v>
      </c>
    </row>
    <row r="4" spans="1:14" ht="15" customHeight="1" x14ac:dyDescent="0.25">
      <c r="A4" s="49"/>
      <c r="B4" s="50"/>
      <c r="C4" s="50"/>
      <c r="D4" s="50"/>
      <c r="E4" s="50"/>
      <c r="F4" s="49"/>
      <c r="G4" s="1822"/>
      <c r="H4" s="1822"/>
      <c r="I4" s="230" t="s">
        <v>65</v>
      </c>
      <c r="J4" s="230" t="s">
        <v>126</v>
      </c>
      <c r="K4" s="213"/>
    </row>
    <row r="5" spans="1:14" ht="16.5" customHeight="1" x14ac:dyDescent="0.25">
      <c r="A5" s="1600" t="s">
        <v>2658</v>
      </c>
      <c r="B5" s="1601"/>
      <c r="C5" s="1601"/>
      <c r="D5" s="1601"/>
      <c r="E5" s="1601"/>
      <c r="F5" s="1601"/>
      <c r="G5" s="1601"/>
      <c r="H5" s="1601"/>
      <c r="I5" s="1601"/>
      <c r="J5" s="1601"/>
      <c r="K5" s="1601"/>
      <c r="L5" s="172"/>
      <c r="M5" s="172"/>
      <c r="N5" s="173"/>
    </row>
    <row r="6" spans="1:14" ht="16.5" customHeight="1" x14ac:dyDescent="0.25">
      <c r="A6" s="1603"/>
      <c r="B6" s="1604"/>
      <c r="C6" s="1604"/>
      <c r="D6" s="1604"/>
      <c r="E6" s="1604"/>
      <c r="F6" s="1604"/>
      <c r="G6" s="1604"/>
      <c r="H6" s="1604"/>
      <c r="I6" s="1604"/>
      <c r="J6" s="1604"/>
      <c r="K6" s="1604"/>
      <c r="L6" s="174"/>
      <c r="M6" s="174"/>
      <c r="N6" s="175"/>
    </row>
    <row r="7" spans="1:14" ht="16.5" customHeight="1" x14ac:dyDescent="0.25">
      <c r="A7" s="1606"/>
      <c r="B7" s="1607"/>
      <c r="C7" s="1607"/>
      <c r="D7" s="1607"/>
      <c r="E7" s="1607"/>
      <c r="F7" s="1607"/>
      <c r="G7" s="1607"/>
      <c r="H7" s="1607"/>
      <c r="I7" s="1607"/>
      <c r="J7" s="1607"/>
      <c r="K7" s="1607"/>
      <c r="L7" s="176"/>
      <c r="M7" s="176"/>
      <c r="N7" s="177"/>
    </row>
    <row r="8" spans="1:14" ht="12" customHeight="1" x14ac:dyDescent="0.25">
      <c r="A8" s="49"/>
      <c r="B8" s="50"/>
      <c r="C8" s="50"/>
      <c r="D8" s="50"/>
      <c r="E8" s="50"/>
      <c r="F8" s="49"/>
      <c r="G8" s="49"/>
      <c r="H8" s="49"/>
      <c r="I8" s="49"/>
      <c r="J8" s="49"/>
      <c r="K8" s="49"/>
      <c r="L8" s="49"/>
      <c r="M8" s="49"/>
      <c r="N8" s="49"/>
    </row>
    <row r="9" spans="1:14" ht="18" customHeight="1" x14ac:dyDescent="0.25">
      <c r="A9" s="2180" t="s">
        <v>177</v>
      </c>
      <c r="B9" s="2180"/>
      <c r="C9" s="2180"/>
      <c r="D9" s="2180"/>
      <c r="E9" s="2180"/>
      <c r="F9" s="2180"/>
      <c r="G9" s="2180"/>
      <c r="H9" s="2180"/>
      <c r="I9" s="2180"/>
      <c r="J9" s="2180"/>
      <c r="K9" s="2180"/>
    </row>
    <row r="10" spans="1:14" ht="16.5" customHeight="1" x14ac:dyDescent="0.25">
      <c r="A10" s="49"/>
      <c r="B10" s="50"/>
      <c r="C10" s="50"/>
      <c r="D10" s="50"/>
      <c r="E10" s="50"/>
      <c r="F10" s="49"/>
      <c r="G10" s="49"/>
      <c r="H10" s="49"/>
      <c r="I10" s="49"/>
      <c r="J10" s="49"/>
      <c r="K10" s="49"/>
    </row>
    <row r="11" spans="1:14" ht="19.5" customHeight="1" x14ac:dyDescent="0.25">
      <c r="A11" s="49"/>
      <c r="B11" s="2181" t="s">
        <v>178</v>
      </c>
      <c r="C11" s="2182"/>
      <c r="D11" s="2182"/>
      <c r="E11" s="2182"/>
      <c r="F11" s="640" t="s">
        <v>152</v>
      </c>
      <c r="G11" s="640" t="s">
        <v>53</v>
      </c>
      <c r="H11" s="56" t="s">
        <v>492</v>
      </c>
      <c r="I11" s="49"/>
      <c r="J11" s="49"/>
      <c r="K11" s="49"/>
    </row>
    <row r="12" spans="1:14" ht="28.5" customHeight="1" x14ac:dyDescent="0.25">
      <c r="A12" s="49"/>
      <c r="B12" s="1611" t="s">
        <v>8</v>
      </c>
      <c r="C12" s="1612"/>
      <c r="D12" s="1612"/>
      <c r="E12" s="2021"/>
      <c r="F12" s="55">
        <v>2</v>
      </c>
      <c r="G12" s="55">
        <f>C61</f>
        <v>0</v>
      </c>
      <c r="H12" s="55" t="str">
        <f>C62</f>
        <v>No</v>
      </c>
      <c r="I12" s="81"/>
      <c r="J12" s="49"/>
      <c r="K12" s="49"/>
    </row>
    <row r="13" spans="1:14" ht="16.5" customHeight="1" x14ac:dyDescent="0.25">
      <c r="A13" s="49"/>
      <c r="B13" s="50"/>
      <c r="C13" s="50"/>
      <c r="D13" s="50"/>
      <c r="E13" s="50"/>
      <c r="F13" s="49"/>
      <c r="G13" s="49"/>
      <c r="H13" s="49"/>
      <c r="I13" s="49"/>
      <c r="J13" s="49"/>
      <c r="K13" s="49"/>
    </row>
    <row r="14" spans="1:14" ht="18" customHeight="1" x14ac:dyDescent="0.25">
      <c r="A14" s="2180" t="s">
        <v>245</v>
      </c>
      <c r="B14" s="2180"/>
      <c r="C14" s="2180"/>
      <c r="D14" s="2180"/>
      <c r="E14" s="2180"/>
      <c r="F14" s="2180"/>
      <c r="G14" s="2180"/>
      <c r="H14" s="2180"/>
      <c r="I14" s="2180"/>
      <c r="J14" s="2180"/>
      <c r="K14" s="2180"/>
    </row>
    <row r="15" spans="1:14" x14ac:dyDescent="0.25">
      <c r="A15" s="49"/>
      <c r="B15" s="50"/>
      <c r="C15" s="50"/>
      <c r="D15" s="50"/>
      <c r="E15" s="50"/>
      <c r="F15" s="49"/>
      <c r="G15" s="49"/>
      <c r="H15" s="49"/>
      <c r="I15" s="49"/>
      <c r="J15" s="49"/>
      <c r="K15" s="49"/>
    </row>
    <row r="16" spans="1:14" ht="15" customHeight="1" x14ac:dyDescent="0.25">
      <c r="A16" s="49"/>
      <c r="B16" s="581" t="s">
        <v>897</v>
      </c>
      <c r="C16" s="50"/>
      <c r="D16" s="50"/>
      <c r="E16" s="50"/>
      <c r="F16" s="49"/>
      <c r="G16" s="49"/>
      <c r="H16" s="49"/>
      <c r="I16" s="49"/>
      <c r="J16" s="49"/>
      <c r="K16" s="49"/>
    </row>
    <row r="17" spans="1:11" ht="17.25" customHeight="1" x14ac:dyDescent="0.25">
      <c r="A17" s="49"/>
      <c r="B17" s="497"/>
      <c r="C17" s="50"/>
      <c r="D17" s="50"/>
      <c r="E17" s="50"/>
      <c r="F17" s="49"/>
      <c r="G17" s="49"/>
      <c r="H17" s="49"/>
      <c r="I17" s="49"/>
      <c r="J17" s="49"/>
      <c r="K17" s="49"/>
    </row>
    <row r="18" spans="1:11" ht="15" customHeight="1" x14ac:dyDescent="0.25">
      <c r="A18" s="49"/>
      <c r="B18" s="636" t="s">
        <v>285</v>
      </c>
      <c r="C18" s="667"/>
      <c r="D18" s="667"/>
      <c r="E18" s="667"/>
      <c r="F18" s="667"/>
      <c r="G18" s="667"/>
      <c r="H18" s="667"/>
      <c r="I18" s="668"/>
      <c r="J18" s="49"/>
      <c r="K18" s="49"/>
    </row>
    <row r="19" spans="1:11" ht="15" customHeight="1" x14ac:dyDescent="0.25">
      <c r="A19" s="49"/>
      <c r="B19" s="637" t="s">
        <v>286</v>
      </c>
      <c r="C19" s="666"/>
      <c r="D19" s="666"/>
      <c r="E19" s="666"/>
      <c r="F19" s="666"/>
      <c r="G19" s="666"/>
      <c r="H19" s="666"/>
      <c r="I19" s="669"/>
      <c r="J19" s="49"/>
      <c r="K19" s="49"/>
    </row>
    <row r="20" spans="1:11" ht="15" customHeight="1" x14ac:dyDescent="0.25">
      <c r="A20" s="49"/>
      <c r="B20" s="637" t="s">
        <v>1149</v>
      </c>
      <c r="C20" s="666"/>
      <c r="D20" s="666"/>
      <c r="E20" s="666"/>
      <c r="F20" s="666"/>
      <c r="G20" s="666"/>
      <c r="H20" s="666"/>
      <c r="I20" s="669"/>
      <c r="J20" s="49"/>
      <c r="K20" s="49"/>
    </row>
    <row r="21" spans="1:11" ht="15" customHeight="1" x14ac:dyDescent="0.25">
      <c r="A21" s="49"/>
      <c r="B21" s="637" t="s">
        <v>287</v>
      </c>
      <c r="C21" s="666"/>
      <c r="D21" s="666"/>
      <c r="E21" s="666"/>
      <c r="F21" s="666"/>
      <c r="G21" s="666"/>
      <c r="H21" s="666"/>
      <c r="I21" s="669"/>
      <c r="J21" s="49"/>
      <c r="K21" s="49"/>
    </row>
    <row r="22" spans="1:11" ht="15" customHeight="1" x14ac:dyDescent="0.25">
      <c r="A22" s="49"/>
      <c r="B22" s="637" t="s">
        <v>288</v>
      </c>
      <c r="C22" s="666"/>
      <c r="D22" s="666"/>
      <c r="E22" s="666"/>
      <c r="F22" s="666"/>
      <c r="G22" s="666"/>
      <c r="H22" s="666"/>
      <c r="I22" s="669"/>
      <c r="J22" s="49"/>
      <c r="K22" s="49"/>
    </row>
    <row r="23" spans="1:11" ht="15" customHeight="1" x14ac:dyDescent="0.25">
      <c r="A23" s="49"/>
      <c r="B23" s="637" t="s">
        <v>289</v>
      </c>
      <c r="C23" s="666"/>
      <c r="D23" s="666"/>
      <c r="E23" s="666"/>
      <c r="F23" s="666"/>
      <c r="G23" s="666"/>
      <c r="H23" s="666"/>
      <c r="I23" s="669"/>
      <c r="J23" s="49"/>
      <c r="K23" s="49"/>
    </row>
    <row r="24" spans="1:11" ht="15" customHeight="1" x14ac:dyDescent="0.25">
      <c r="A24" s="49"/>
      <c r="B24" s="638" t="s">
        <v>290</v>
      </c>
      <c r="C24" s="670"/>
      <c r="D24" s="670"/>
      <c r="E24" s="670"/>
      <c r="F24" s="670"/>
      <c r="G24" s="670"/>
      <c r="H24" s="670"/>
      <c r="I24" s="671"/>
      <c r="J24" s="49"/>
      <c r="K24" s="49"/>
    </row>
    <row r="25" spans="1:11" x14ac:dyDescent="0.25">
      <c r="A25" s="49"/>
      <c r="B25" s="50"/>
      <c r="C25" s="50"/>
      <c r="D25" s="50"/>
      <c r="E25" s="50"/>
      <c r="F25" s="49"/>
      <c r="G25" s="49"/>
      <c r="H25" s="49"/>
      <c r="I25" s="49"/>
      <c r="J25" s="49"/>
      <c r="K25" s="49"/>
    </row>
    <row r="26" spans="1:11" ht="18" customHeight="1" x14ac:dyDescent="0.25">
      <c r="A26" s="2180" t="s">
        <v>23</v>
      </c>
      <c r="B26" s="2180"/>
      <c r="C26" s="2180"/>
      <c r="D26" s="2180"/>
      <c r="E26" s="2180"/>
      <c r="F26" s="2180"/>
      <c r="G26" s="2180"/>
      <c r="H26" s="2180"/>
      <c r="I26" s="2180"/>
      <c r="J26" s="2180"/>
      <c r="K26" s="2180"/>
    </row>
    <row r="27" spans="1:11" x14ac:dyDescent="0.25">
      <c r="A27" s="49"/>
      <c r="B27" s="50"/>
      <c r="C27" s="50"/>
      <c r="D27" s="50"/>
      <c r="E27" s="50"/>
      <c r="F27" s="49"/>
      <c r="G27" s="49"/>
      <c r="H27" s="49"/>
      <c r="I27" s="49"/>
      <c r="J27" s="49"/>
      <c r="K27" s="49"/>
    </row>
    <row r="28" spans="1:11" x14ac:dyDescent="0.25">
      <c r="A28" s="49"/>
      <c r="B28" s="579" t="s">
        <v>1418</v>
      </c>
      <c r="C28" s="50"/>
      <c r="D28" s="50"/>
      <c r="E28" s="50"/>
      <c r="F28" s="49"/>
      <c r="G28" s="49"/>
      <c r="H28" s="49"/>
      <c r="I28" s="49"/>
      <c r="J28" s="49"/>
      <c r="K28" s="49"/>
    </row>
    <row r="29" spans="1:11" x14ac:dyDescent="0.25">
      <c r="A29" s="49"/>
      <c r="B29" s="68"/>
      <c r="C29" s="50"/>
      <c r="D29" s="50"/>
      <c r="E29" s="50"/>
      <c r="F29" s="49"/>
      <c r="G29" s="49"/>
      <c r="H29" s="49"/>
      <c r="I29" s="49"/>
      <c r="J29" s="49"/>
      <c r="K29" s="49"/>
    </row>
    <row r="30" spans="1:11" x14ac:dyDescent="0.25">
      <c r="A30" s="49"/>
      <c r="B30" s="665" t="s">
        <v>1148</v>
      </c>
      <c r="C30" s="50"/>
      <c r="D30" s="50"/>
      <c r="E30" s="50"/>
      <c r="F30" s="49"/>
      <c r="G30" s="49"/>
      <c r="H30" s="49"/>
      <c r="I30" s="49"/>
      <c r="J30" s="49"/>
      <c r="K30" s="49"/>
    </row>
    <row r="31" spans="1:11" x14ac:dyDescent="0.25">
      <c r="A31" s="49"/>
      <c r="B31" s="50"/>
      <c r="C31" s="50"/>
      <c r="D31" s="50"/>
      <c r="E31" s="50"/>
      <c r="F31" s="49"/>
      <c r="G31" s="49"/>
      <c r="H31" s="49"/>
      <c r="I31" s="49"/>
      <c r="J31" s="49"/>
      <c r="K31" s="49"/>
    </row>
    <row r="32" spans="1:11" ht="16.5" customHeight="1" x14ac:dyDescent="0.25">
      <c r="A32" s="49"/>
      <c r="B32" s="2200" t="s">
        <v>148</v>
      </c>
      <c r="C32" s="2200"/>
      <c r="D32" s="779"/>
      <c r="E32" s="50"/>
      <c r="F32" s="49"/>
      <c r="G32" s="49"/>
      <c r="H32" s="49"/>
      <c r="I32" s="49"/>
      <c r="J32" s="49"/>
      <c r="K32" s="49"/>
    </row>
    <row r="33" spans="1:11" ht="16.5" customHeight="1" x14ac:dyDescent="0.25">
      <c r="A33" s="49"/>
      <c r="B33" s="2200" t="s">
        <v>291</v>
      </c>
      <c r="C33" s="2200"/>
      <c r="D33" s="779"/>
      <c r="E33" s="50"/>
      <c r="F33" s="49"/>
      <c r="G33" s="49"/>
      <c r="H33" s="49"/>
      <c r="I33" s="49"/>
      <c r="J33" s="49"/>
      <c r="K33" s="49"/>
    </row>
    <row r="34" spans="1:11" ht="16.5" customHeight="1" x14ac:dyDescent="0.25">
      <c r="A34" s="49"/>
      <c r="B34" s="2200" t="s">
        <v>292</v>
      </c>
      <c r="C34" s="2200"/>
      <c r="D34" s="166"/>
      <c r="E34" s="50"/>
      <c r="F34" s="49"/>
      <c r="G34" s="49"/>
      <c r="H34" s="49"/>
      <c r="I34" s="49"/>
      <c r="J34" s="49"/>
      <c r="K34" s="49"/>
    </row>
    <row r="35" spans="1:11" x14ac:dyDescent="0.25">
      <c r="A35" s="49"/>
      <c r="B35" s="50"/>
      <c r="C35" s="50"/>
      <c r="D35" s="50"/>
      <c r="E35" s="50"/>
      <c r="F35" s="49"/>
      <c r="G35" s="49"/>
      <c r="H35" s="49"/>
      <c r="I35" s="49"/>
      <c r="J35" s="49"/>
      <c r="K35" s="49"/>
    </row>
    <row r="36" spans="1:11" ht="18" customHeight="1" x14ac:dyDescent="0.25">
      <c r="A36" s="49"/>
      <c r="B36" s="2200" t="s">
        <v>1412</v>
      </c>
      <c r="C36" s="2200"/>
      <c r="D36" s="2200"/>
      <c r="E36" s="2200"/>
      <c r="F36" s="82">
        <f>D32-D33+D34</f>
        <v>0</v>
      </c>
      <c r="G36" s="49"/>
      <c r="H36" s="49"/>
      <c r="I36" s="49"/>
      <c r="J36" s="49"/>
      <c r="K36" s="49"/>
    </row>
    <row r="37" spans="1:11" x14ac:dyDescent="0.25">
      <c r="A37" s="49"/>
      <c r="B37" s="783"/>
      <c r="C37" s="783"/>
      <c r="D37" s="783"/>
      <c r="E37" s="783"/>
      <c r="F37" s="49"/>
      <c r="G37" s="49"/>
      <c r="H37" s="49"/>
      <c r="I37" s="49"/>
      <c r="J37" s="49"/>
      <c r="K37" s="49"/>
    </row>
    <row r="38" spans="1:11" ht="27" customHeight="1" x14ac:dyDescent="0.25">
      <c r="A38" s="49"/>
      <c r="B38" s="780" t="s">
        <v>39</v>
      </c>
      <c r="C38" s="8" t="s">
        <v>40</v>
      </c>
      <c r="D38" s="9" t="s">
        <v>293</v>
      </c>
      <c r="E38" s="8" t="s">
        <v>294</v>
      </c>
      <c r="F38" s="2185" t="s">
        <v>30</v>
      </c>
      <c r="G38" s="2186"/>
      <c r="H38" s="49"/>
      <c r="I38" s="49"/>
      <c r="J38" s="49"/>
      <c r="K38" s="49"/>
    </row>
    <row r="39" spans="1:11" x14ac:dyDescent="0.25">
      <c r="A39" s="49"/>
      <c r="B39" s="166"/>
      <c r="C39" s="166"/>
      <c r="D39" s="166"/>
      <c r="E39" s="381" t="str">
        <f>IF(D39="","",C39*(1-D39))</f>
        <v/>
      </c>
      <c r="F39" s="2212"/>
      <c r="G39" s="2213"/>
      <c r="H39" s="49"/>
      <c r="I39" s="49"/>
      <c r="J39" s="49"/>
      <c r="K39" s="49"/>
    </row>
    <row r="40" spans="1:11" x14ac:dyDescent="0.25">
      <c r="A40" s="49"/>
      <c r="B40" s="166"/>
      <c r="C40" s="166"/>
      <c r="D40" s="166"/>
      <c r="E40" s="381" t="str">
        <f t="shared" ref="E40:E48" si="0">IF(D40="","",C40*(1-D40))</f>
        <v/>
      </c>
      <c r="F40" s="2212"/>
      <c r="G40" s="2213"/>
      <c r="H40" s="49"/>
      <c r="I40" s="49"/>
      <c r="J40" s="49"/>
      <c r="K40" s="49"/>
    </row>
    <row r="41" spans="1:11" x14ac:dyDescent="0.25">
      <c r="A41" s="49"/>
      <c r="B41" s="166"/>
      <c r="C41" s="166"/>
      <c r="D41" s="166"/>
      <c r="E41" s="381" t="str">
        <f t="shared" si="0"/>
        <v/>
      </c>
      <c r="F41" s="2212"/>
      <c r="G41" s="2213"/>
      <c r="H41" s="49"/>
      <c r="I41" s="49"/>
      <c r="J41" s="49"/>
      <c r="K41" s="49"/>
    </row>
    <row r="42" spans="1:11" x14ac:dyDescent="0.25">
      <c r="A42" s="49"/>
      <c r="B42" s="786"/>
      <c r="C42" s="786"/>
      <c r="D42" s="786"/>
      <c r="E42" s="381" t="str">
        <f>IF(D42="","",C42*(1-D42))</f>
        <v/>
      </c>
      <c r="F42" s="2212"/>
      <c r="G42" s="2213"/>
      <c r="H42" s="49"/>
      <c r="I42" s="49"/>
      <c r="J42" s="49"/>
      <c r="K42" s="49"/>
    </row>
    <row r="43" spans="1:11" x14ac:dyDescent="0.25">
      <c r="A43" s="49"/>
      <c r="B43" s="786"/>
      <c r="C43" s="786"/>
      <c r="D43" s="786"/>
      <c r="E43" s="381" t="str">
        <f>IF(D43="","",C43*(1-D43))</f>
        <v/>
      </c>
      <c r="F43" s="2212"/>
      <c r="G43" s="2213"/>
      <c r="H43" s="49"/>
      <c r="I43" s="49"/>
      <c r="J43" s="49"/>
      <c r="K43" s="49"/>
    </row>
    <row r="44" spans="1:11" x14ac:dyDescent="0.25">
      <c r="A44" s="49"/>
      <c r="B44" s="786"/>
      <c r="C44" s="786"/>
      <c r="D44" s="786"/>
      <c r="E44" s="381" t="str">
        <f>IF(D44="","",C44*(1-D44))</f>
        <v/>
      </c>
      <c r="F44" s="2212"/>
      <c r="G44" s="2213"/>
      <c r="H44" s="49"/>
      <c r="I44" s="49"/>
      <c r="J44" s="49"/>
      <c r="K44" s="49"/>
    </row>
    <row r="45" spans="1:11" x14ac:dyDescent="0.25">
      <c r="A45" s="49"/>
      <c r="B45" s="786"/>
      <c r="C45" s="786"/>
      <c r="D45" s="786"/>
      <c r="E45" s="381" t="str">
        <f>IF(D45="","",C45*(1-D45))</f>
        <v/>
      </c>
      <c r="F45" s="2212"/>
      <c r="G45" s="2213"/>
      <c r="H45" s="49"/>
      <c r="I45" s="49"/>
      <c r="J45" s="49"/>
      <c r="K45" s="49"/>
    </row>
    <row r="46" spans="1:11" x14ac:dyDescent="0.25">
      <c r="A46" s="49"/>
      <c r="B46" s="786"/>
      <c r="C46" s="786"/>
      <c r="D46" s="786"/>
      <c r="E46" s="381" t="str">
        <f>IF(D46="","",C46*(1-D46))</f>
        <v/>
      </c>
      <c r="F46" s="2212"/>
      <c r="G46" s="2213"/>
      <c r="H46" s="49"/>
      <c r="I46" s="49"/>
      <c r="J46" s="49"/>
      <c r="K46" s="49"/>
    </row>
    <row r="47" spans="1:11" x14ac:dyDescent="0.25">
      <c r="A47" s="49"/>
      <c r="B47" s="166"/>
      <c r="C47" s="166"/>
      <c r="D47" s="166"/>
      <c r="E47" s="381" t="str">
        <f t="shared" si="0"/>
        <v/>
      </c>
      <c r="F47" s="2212"/>
      <c r="G47" s="2213"/>
      <c r="H47" s="49"/>
      <c r="I47" s="49"/>
      <c r="J47" s="49"/>
      <c r="K47" s="49"/>
    </row>
    <row r="48" spans="1:11" x14ac:dyDescent="0.25">
      <c r="A48" s="49"/>
      <c r="B48" s="166"/>
      <c r="C48" s="166"/>
      <c r="D48" s="166"/>
      <c r="E48" s="381" t="str">
        <f t="shared" si="0"/>
        <v/>
      </c>
      <c r="F48" s="2212"/>
      <c r="G48" s="2213"/>
      <c r="H48" s="49"/>
      <c r="I48" s="49"/>
      <c r="J48" s="49"/>
      <c r="K48" s="49"/>
    </row>
    <row r="49" spans="1:11" x14ac:dyDescent="0.25">
      <c r="A49" s="49"/>
      <c r="B49" s="50"/>
      <c r="C49" s="426" t="str">
        <f>IF(SUM(C39:C48)=0,"",IF(SUM(C39:C48)&lt;&gt;F36,"It is necessary to have the areas match together",""))</f>
        <v/>
      </c>
      <c r="D49" s="50"/>
      <c r="E49" s="298">
        <f>SUM(E39:E48)</f>
        <v>0</v>
      </c>
      <c r="F49" s="49"/>
      <c r="G49" s="49"/>
      <c r="H49" s="49"/>
      <c r="I49" s="49"/>
      <c r="J49" s="49"/>
      <c r="K49" s="49"/>
    </row>
    <row r="50" spans="1:11" ht="16.5" customHeight="1" x14ac:dyDescent="0.25">
      <c r="A50" s="49"/>
      <c r="B50" s="50"/>
      <c r="C50" s="50"/>
      <c r="D50" s="50"/>
      <c r="E50" s="50"/>
      <c r="F50" s="49"/>
      <c r="G50" s="49"/>
      <c r="H50" s="49"/>
      <c r="I50" s="49"/>
      <c r="J50" s="49"/>
      <c r="K50" s="49"/>
    </row>
    <row r="51" spans="1:11" ht="18" customHeight="1" x14ac:dyDescent="0.25">
      <c r="A51" s="49"/>
      <c r="B51" s="2169" t="s">
        <v>295</v>
      </c>
      <c r="C51" s="2169"/>
      <c r="D51" s="380" t="str">
        <f>IF(C49="",IF(F36=0,"",E49/F36),"")</f>
        <v/>
      </c>
      <c r="E51" s="69"/>
      <c r="F51" s="49"/>
      <c r="G51" s="49"/>
      <c r="H51" s="49"/>
      <c r="I51" s="49"/>
      <c r="J51" s="49"/>
      <c r="K51" s="49"/>
    </row>
    <row r="52" spans="1:11" ht="18" customHeight="1" x14ac:dyDescent="0.25">
      <c r="A52" s="49"/>
      <c r="B52" s="50"/>
      <c r="C52" s="50"/>
      <c r="D52" s="50"/>
      <c r="E52" s="50"/>
      <c r="F52" s="49"/>
      <c r="G52" s="49"/>
      <c r="H52" s="49"/>
      <c r="I52" s="49"/>
      <c r="J52" s="49"/>
      <c r="K52" s="49"/>
    </row>
    <row r="53" spans="1:11" ht="18" customHeight="1" x14ac:dyDescent="0.25">
      <c r="A53" s="2180" t="s">
        <v>186</v>
      </c>
      <c r="B53" s="2180"/>
      <c r="C53" s="2180"/>
      <c r="D53" s="2180"/>
      <c r="E53" s="2180"/>
      <c r="F53" s="2180"/>
      <c r="G53" s="2180"/>
      <c r="H53" s="2180"/>
      <c r="I53" s="2180"/>
      <c r="J53" s="2180"/>
      <c r="K53" s="2180"/>
    </row>
    <row r="54" spans="1:11" ht="16.5" customHeight="1" x14ac:dyDescent="0.25">
      <c r="A54" s="49"/>
      <c r="B54" s="49"/>
      <c r="C54" s="49"/>
      <c r="D54" s="49"/>
      <c r="E54" s="49"/>
      <c r="F54" s="49"/>
      <c r="G54" s="49"/>
      <c r="H54" s="49"/>
      <c r="I54" s="49"/>
      <c r="J54" s="49"/>
      <c r="K54" s="49"/>
    </row>
    <row r="55" spans="1:11" ht="18" customHeight="1" x14ac:dyDescent="0.25">
      <c r="A55" s="49"/>
      <c r="B55" s="2183" t="s">
        <v>1739</v>
      </c>
      <c r="C55" s="2184"/>
      <c r="D55" s="2184"/>
      <c r="E55" s="2184"/>
      <c r="F55" s="2184"/>
      <c r="G55" s="1100" t="s">
        <v>1737</v>
      </c>
      <c r="H55" s="2185" t="s">
        <v>1738</v>
      </c>
      <c r="I55" s="2186"/>
      <c r="J55" s="49"/>
      <c r="K55" s="49"/>
    </row>
    <row r="56" spans="1:11" ht="24" customHeight="1" x14ac:dyDescent="0.25">
      <c r="A56" s="49"/>
      <c r="B56" s="1576" t="s">
        <v>1152</v>
      </c>
      <c r="C56" s="1577"/>
      <c r="D56" s="1577"/>
      <c r="E56" s="1577"/>
      <c r="F56" s="1578"/>
      <c r="G56" s="471" t="s">
        <v>124</v>
      </c>
      <c r="H56" s="1931"/>
      <c r="I56" s="1932"/>
      <c r="J56" s="49"/>
      <c r="K56" s="49"/>
    </row>
    <row r="57" spans="1:11" ht="24" customHeight="1" x14ac:dyDescent="0.25">
      <c r="A57" s="49"/>
      <c r="B57" s="1576" t="s">
        <v>1153</v>
      </c>
      <c r="C57" s="1577"/>
      <c r="D57" s="1577"/>
      <c r="E57" s="1577"/>
      <c r="F57" s="1578"/>
      <c r="G57" s="471" t="s">
        <v>124</v>
      </c>
      <c r="H57" s="1931"/>
      <c r="I57" s="1932"/>
      <c r="J57" s="49"/>
      <c r="K57" s="49"/>
    </row>
    <row r="58" spans="1:11" ht="16.5" customHeight="1" x14ac:dyDescent="0.25">
      <c r="A58" s="49"/>
      <c r="B58" s="49"/>
      <c r="C58" s="49"/>
      <c r="D58" s="49"/>
      <c r="E58" s="49"/>
      <c r="F58" s="49"/>
      <c r="G58" s="49"/>
      <c r="H58" s="49"/>
      <c r="I58" s="49"/>
      <c r="J58" s="49"/>
      <c r="K58" s="49"/>
    </row>
    <row r="59" spans="1:11" ht="18" customHeight="1" x14ac:dyDescent="0.25">
      <c r="A59" s="2180" t="s">
        <v>22</v>
      </c>
      <c r="B59" s="2180"/>
      <c r="C59" s="2180"/>
      <c r="D59" s="2180"/>
      <c r="E59" s="2180"/>
      <c r="F59" s="2180"/>
      <c r="G59" s="2180"/>
      <c r="H59" s="2180"/>
      <c r="I59" s="2180"/>
      <c r="J59" s="2180"/>
      <c r="K59" s="2180"/>
    </row>
    <row r="60" spans="1:11" ht="15" customHeight="1" x14ac:dyDescent="0.25">
      <c r="A60" s="49"/>
      <c r="B60" s="50"/>
      <c r="C60" s="50"/>
      <c r="D60" s="50"/>
      <c r="E60" s="50"/>
      <c r="F60" s="49"/>
      <c r="G60" s="49"/>
      <c r="H60" s="49"/>
      <c r="I60" s="49"/>
      <c r="J60" s="49"/>
      <c r="K60" s="49"/>
    </row>
    <row r="61" spans="1:11" ht="17.25" customHeight="1" x14ac:dyDescent="0.25">
      <c r="A61" s="49"/>
      <c r="B61" s="236" t="s">
        <v>53</v>
      </c>
      <c r="C61" s="10">
        <f>IF(D51="",0,IF(D51&gt;=0.5,2,IF(D51&gt;=0.3,1,0)))</f>
        <v>0</v>
      </c>
      <c r="D61" s="50"/>
      <c r="E61" s="49"/>
      <c r="F61" s="49"/>
      <c r="G61" s="49"/>
      <c r="H61" s="49"/>
      <c r="I61" s="49"/>
      <c r="J61" s="49"/>
      <c r="K61" s="49"/>
    </row>
    <row r="62" spans="1:11" ht="17.25" customHeight="1" x14ac:dyDescent="0.25">
      <c r="A62" s="49"/>
      <c r="B62" s="236" t="s">
        <v>492</v>
      </c>
      <c r="C62" s="181" t="str">
        <f>IF(AND(COUNTIF(G56:G57,"Submitted")=2,C61&gt;0),"Yes","No")</f>
        <v>No</v>
      </c>
      <c r="D62" s="49"/>
      <c r="E62" s="49"/>
      <c r="F62" s="49"/>
      <c r="G62" s="49"/>
      <c r="H62" s="49"/>
      <c r="I62" s="49"/>
      <c r="J62" s="49"/>
      <c r="K62" s="49"/>
    </row>
    <row r="63" spans="1:11" x14ac:dyDescent="0.25">
      <c r="A63" s="49"/>
      <c r="B63" s="49"/>
      <c r="C63" s="49"/>
      <c r="D63" s="49"/>
      <c r="E63" s="49"/>
      <c r="F63" s="49"/>
      <c r="G63" s="49"/>
      <c r="H63" s="49"/>
      <c r="I63" s="49"/>
      <c r="J63" s="49"/>
      <c r="K63" s="49"/>
    </row>
  </sheetData>
  <sheetProtection algorithmName="SHA-512" hashValue="2lY+h1tQgkh/h+jzLwo4B78Q5pH+s2XO/moAwo/znKKv4vc0EbjyzQ25HWYGruID+yddgmEsNJz+uHLfOsI8uw==" saltValue="FBWyMsrmKlihOe4aGnBAFQ==" spinCount="100000" sheet="1" objects="1" scenarios="1"/>
  <mergeCells count="32">
    <mergeCell ref="A9:K9"/>
    <mergeCell ref="A14:K14"/>
    <mergeCell ref="A26:K26"/>
    <mergeCell ref="A53:K53"/>
    <mergeCell ref="A59:K59"/>
    <mergeCell ref="H57:I57"/>
    <mergeCell ref="F38:G38"/>
    <mergeCell ref="F40:G40"/>
    <mergeCell ref="F46:G46"/>
    <mergeCell ref="F42:G42"/>
    <mergeCell ref="F43:G43"/>
    <mergeCell ref="F44:G44"/>
    <mergeCell ref="F45:G45"/>
    <mergeCell ref="F41:G41"/>
    <mergeCell ref="F47:G47"/>
    <mergeCell ref="F48:G48"/>
    <mergeCell ref="A1:K1"/>
    <mergeCell ref="B57:F57"/>
    <mergeCell ref="G2:H4"/>
    <mergeCell ref="A5:K7"/>
    <mergeCell ref="B11:E11"/>
    <mergeCell ref="B12:E12"/>
    <mergeCell ref="B32:C32"/>
    <mergeCell ref="B33:C33"/>
    <mergeCell ref="B34:C34"/>
    <mergeCell ref="B36:E36"/>
    <mergeCell ref="B51:C51"/>
    <mergeCell ref="B56:F56"/>
    <mergeCell ref="F39:G39"/>
    <mergeCell ref="B55:F55"/>
    <mergeCell ref="H55:I55"/>
    <mergeCell ref="H56:I56"/>
  </mergeCells>
  <conditionalFormatting sqref="G56:G57">
    <cfRule type="expression" dxfId="62" priority="4">
      <formula>#REF!&lt;&gt;"Prescriptive Path"</formula>
    </cfRule>
  </conditionalFormatting>
  <conditionalFormatting sqref="H55:I55">
    <cfRule type="expression" dxfId="61" priority="3">
      <formula>#REF!&lt;&gt;"Prescriptive Path"</formula>
    </cfRule>
  </conditionalFormatting>
  <conditionalFormatting sqref="H56">
    <cfRule type="expression" dxfId="60" priority="2">
      <formula>#REF!&lt;&gt;"Prescriptive Path"</formula>
    </cfRule>
  </conditionalFormatting>
  <conditionalFormatting sqref="H57">
    <cfRule type="expression" dxfId="59" priority="1">
      <formula>#REF!&lt;&gt;"Prescriptive Path"</formula>
    </cfRule>
  </conditionalFormatting>
  <dataValidations disablePrompts="1" count="4">
    <dataValidation type="list" allowBlank="1" showInputMessage="1" showErrorMessage="1" sqref="G56:G57" xr:uid="{00000000-0002-0000-2D00-000000000000}">
      <formula1>"Submitted,Not submitted"</formula1>
    </dataValidation>
    <dataValidation allowBlank="1" showInputMessage="1" showErrorMessage="1" prompt="Information filled in Project Information sheet._x000a_" sqref="D51" xr:uid="{00000000-0002-0000-2D00-000001000000}"/>
    <dataValidation allowBlank="1" showInputMessage="1" showErrorMessage="1" prompt="_x000a_" sqref="F36" xr:uid="{00000000-0002-0000-2D00-000002000000}"/>
    <dataValidation allowBlank="1" showInputMessage="1" showErrorMessage="1" prompt="Provide details on the surface installed, on the value of run-off coefficient used, etc." sqref="F39:F48" xr:uid="{00000000-0002-0000-2D00-000003000000}"/>
  </dataValidations>
  <hyperlinks>
    <hyperlink ref="I3" location="'LE-2 Site design'!B3" tooltip="LE-2" display="LE-2" xr:uid="{00000000-0004-0000-2D00-000000000000}"/>
    <hyperlink ref="I4" location="'LE-3 Vegetation'!D3" tooltip="LE-3" display="LE-3" xr:uid="{00000000-0004-0000-2D00-000001000000}"/>
    <hyperlink ref="J4" location="'LE-7 Refrigerants'!E3" tooltip="LE-7" display="LE-7" xr:uid="{00000000-0004-0000-2D00-000002000000}"/>
    <hyperlink ref="J3" location="'LE-6 Flood Risk Mitigation'!E3" tooltip="LE-6" display="LE-6" xr:uid="{00000000-0004-0000-2D00-000003000000}"/>
    <hyperlink ref="I2" location="'LE-1 Site Selection'!B3" tooltip="LE-1" display="LE-1" xr:uid="{00000000-0004-0000-2D00-000004000000}"/>
    <hyperlink ref="J2" location="'LE-4 Heat Island Effect'!D3" tooltip="LE-4" display="LE-4" xr:uid="{00000000-0004-0000-2D00-000005000000}"/>
    <hyperlink ref="K3" location="'LE-8 Recycling Storage Area'!B3" tooltip="LE-8" display="LE-8" xr:uid="{00000000-0004-0000-2D00-000006000000}"/>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0">
    <tabColor rgb="FF76923C"/>
  </sheetPr>
  <dimension ref="A1:M56"/>
  <sheetViews>
    <sheetView showRowColHeaders="0" workbookViewId="0">
      <pane ySplit="8" topLeftCell="A9" activePane="bottomLeft" state="frozen"/>
      <selection activeCell="M21" sqref="M21"/>
      <selection pane="bottomLeft" activeCell="A9" sqref="A9:K9"/>
    </sheetView>
  </sheetViews>
  <sheetFormatPr defaultColWidth="0" defaultRowHeight="15" customHeight="1" zeroHeight="1" x14ac:dyDescent="0.25"/>
  <cols>
    <col min="1" max="1" width="4.7109375" style="38" customWidth="1"/>
    <col min="2" max="7" width="18.42578125" style="38" customWidth="1"/>
    <col min="8" max="8" width="18.7109375" style="38" customWidth="1"/>
    <col min="9" max="11" width="8.7109375" style="38" customWidth="1"/>
    <col min="12" max="16384" width="9.140625" style="38" hidden="1"/>
  </cols>
  <sheetData>
    <row r="1" spans="1:11" ht="24" customHeight="1" x14ac:dyDescent="0.25">
      <c r="A1" s="1348" t="s">
        <v>235</v>
      </c>
      <c r="B1" s="1348"/>
      <c r="C1" s="1348"/>
      <c r="D1" s="1348"/>
      <c r="E1" s="1348"/>
      <c r="F1" s="1348"/>
      <c r="G1" s="1348"/>
      <c r="H1" s="1348"/>
      <c r="I1" s="1348"/>
      <c r="J1" s="1348"/>
      <c r="K1" s="1348"/>
    </row>
    <row r="2" spans="1:11" ht="15" customHeight="1" x14ac:dyDescent="0.25">
      <c r="A2" s="49"/>
      <c r="B2" s="50"/>
      <c r="C2" s="50"/>
      <c r="D2" s="50"/>
      <c r="E2" s="50"/>
      <c r="F2" s="49"/>
      <c r="G2" s="1585" t="s">
        <v>1761</v>
      </c>
      <c r="H2" s="1585"/>
      <c r="I2" s="230" t="s">
        <v>57</v>
      </c>
      <c r="J2" s="230" t="s">
        <v>69</v>
      </c>
      <c r="K2" s="230"/>
    </row>
    <row r="3" spans="1:11" ht="15" customHeight="1" x14ac:dyDescent="0.25">
      <c r="A3" s="49"/>
      <c r="B3" s="50"/>
      <c r="C3" s="50"/>
      <c r="D3" s="50"/>
      <c r="E3" s="50"/>
      <c r="F3" s="49"/>
      <c r="G3" s="1585"/>
      <c r="H3" s="1585"/>
      <c r="I3" s="230" t="s">
        <v>61</v>
      </c>
      <c r="J3" s="230" t="s">
        <v>73</v>
      </c>
      <c r="K3" s="230" t="s">
        <v>155</v>
      </c>
    </row>
    <row r="4" spans="1:11" ht="15" customHeight="1" x14ac:dyDescent="0.25">
      <c r="A4" s="49"/>
      <c r="B4" s="50"/>
      <c r="C4" s="50"/>
      <c r="D4" s="50"/>
      <c r="E4" s="50"/>
      <c r="F4" s="49"/>
      <c r="G4" s="1822"/>
      <c r="H4" s="1822"/>
      <c r="I4" s="230" t="s">
        <v>65</v>
      </c>
      <c r="J4" s="230" t="s">
        <v>126</v>
      </c>
      <c r="K4" s="213"/>
    </row>
    <row r="5" spans="1:11" ht="16.5" customHeight="1" x14ac:dyDescent="0.25">
      <c r="A5" s="1600" t="s">
        <v>2659</v>
      </c>
      <c r="B5" s="1601"/>
      <c r="C5" s="1601"/>
      <c r="D5" s="1601"/>
      <c r="E5" s="1601"/>
      <c r="F5" s="1601"/>
      <c r="G5" s="1601"/>
      <c r="H5" s="1601"/>
      <c r="I5" s="1601"/>
      <c r="J5" s="1601"/>
      <c r="K5" s="1601"/>
    </row>
    <row r="6" spans="1:11" ht="16.5" customHeight="1" x14ac:dyDescent="0.25">
      <c r="A6" s="1603"/>
      <c r="B6" s="1604"/>
      <c r="C6" s="1604"/>
      <c r="D6" s="1604"/>
      <c r="E6" s="1604"/>
      <c r="F6" s="1604"/>
      <c r="G6" s="1604"/>
      <c r="H6" s="1604"/>
      <c r="I6" s="1604"/>
      <c r="J6" s="1604"/>
      <c r="K6" s="1604"/>
    </row>
    <row r="7" spans="1:11" ht="16.5" customHeight="1" x14ac:dyDescent="0.25">
      <c r="A7" s="1606"/>
      <c r="B7" s="1607"/>
      <c r="C7" s="1607"/>
      <c r="D7" s="1607"/>
      <c r="E7" s="1607"/>
      <c r="F7" s="1607"/>
      <c r="G7" s="1607"/>
      <c r="H7" s="1607"/>
      <c r="I7" s="1607"/>
      <c r="J7" s="1607"/>
      <c r="K7" s="1607"/>
    </row>
    <row r="8" spans="1:11" ht="12" customHeight="1" x14ac:dyDescent="0.25">
      <c r="A8" s="49"/>
      <c r="B8" s="50"/>
      <c r="C8" s="50"/>
      <c r="D8" s="50"/>
      <c r="E8" s="50"/>
      <c r="F8" s="49"/>
      <c r="G8" s="49"/>
      <c r="H8" s="49"/>
      <c r="I8" s="49"/>
      <c r="J8" s="49"/>
      <c r="K8" s="49"/>
    </row>
    <row r="9" spans="1:11" ht="18" customHeight="1" x14ac:dyDescent="0.25">
      <c r="A9" s="2180" t="s">
        <v>177</v>
      </c>
      <c r="B9" s="2180"/>
      <c r="C9" s="2180"/>
      <c r="D9" s="2180"/>
      <c r="E9" s="2180"/>
      <c r="F9" s="2180"/>
      <c r="G9" s="2180"/>
      <c r="H9" s="2180"/>
      <c r="I9" s="2180"/>
      <c r="J9" s="2180"/>
      <c r="K9" s="2180"/>
    </row>
    <row r="10" spans="1:11" ht="16.5" customHeight="1" x14ac:dyDescent="0.25">
      <c r="A10" s="49"/>
      <c r="B10" s="50"/>
      <c r="C10" s="50"/>
      <c r="D10" s="50"/>
      <c r="E10" s="50"/>
      <c r="F10" s="49"/>
      <c r="G10" s="49"/>
      <c r="H10" s="49"/>
      <c r="I10" s="49"/>
      <c r="J10" s="49"/>
      <c r="K10" s="49"/>
    </row>
    <row r="11" spans="1:11" ht="19.5" customHeight="1" x14ac:dyDescent="0.25">
      <c r="A11" s="49"/>
      <c r="B11" s="2181" t="s">
        <v>178</v>
      </c>
      <c r="C11" s="2182"/>
      <c r="D11" s="2182"/>
      <c r="E11" s="2182"/>
      <c r="F11" s="640" t="s">
        <v>152</v>
      </c>
      <c r="G11" s="640" t="s">
        <v>53</v>
      </c>
      <c r="H11" s="56" t="s">
        <v>492</v>
      </c>
      <c r="I11" s="49"/>
      <c r="J11" s="49"/>
      <c r="K11" s="49"/>
    </row>
    <row r="12" spans="1:11" ht="39.75" customHeight="1" x14ac:dyDescent="0.25">
      <c r="A12" s="49"/>
      <c r="B12" s="1611" t="s">
        <v>7</v>
      </c>
      <c r="C12" s="1612"/>
      <c r="D12" s="1612"/>
      <c r="E12" s="2021"/>
      <c r="F12" s="55">
        <v>1</v>
      </c>
      <c r="G12" s="55">
        <f>C48</f>
        <v>0</v>
      </c>
      <c r="H12" s="55" t="str">
        <f>C49</f>
        <v>No</v>
      </c>
      <c r="I12" s="49"/>
      <c r="J12" s="49"/>
      <c r="K12" s="49"/>
    </row>
    <row r="13" spans="1:11" ht="16.5" customHeight="1" x14ac:dyDescent="0.25">
      <c r="A13" s="49"/>
      <c r="B13" s="50"/>
      <c r="C13" s="50"/>
      <c r="D13" s="50"/>
      <c r="E13" s="50"/>
      <c r="F13" s="49"/>
      <c r="G13" s="49"/>
      <c r="H13" s="49"/>
      <c r="I13" s="49"/>
      <c r="J13" s="49"/>
      <c r="K13" s="49"/>
    </row>
    <row r="14" spans="1:11" ht="18" customHeight="1" x14ac:dyDescent="0.25">
      <c r="A14" s="2180" t="s">
        <v>245</v>
      </c>
      <c r="B14" s="2180"/>
      <c r="C14" s="2180"/>
      <c r="D14" s="2180"/>
      <c r="E14" s="2180"/>
      <c r="F14" s="2180"/>
      <c r="G14" s="2180"/>
      <c r="H14" s="2180"/>
      <c r="I14" s="2180"/>
      <c r="J14" s="2180"/>
      <c r="K14" s="2180"/>
    </row>
    <row r="15" spans="1:11" x14ac:dyDescent="0.25">
      <c r="A15" s="49"/>
      <c r="B15" s="50"/>
      <c r="C15" s="50"/>
      <c r="D15" s="50"/>
      <c r="E15" s="50"/>
      <c r="F15" s="49"/>
      <c r="G15" s="49"/>
      <c r="H15" s="49"/>
      <c r="I15" s="49"/>
      <c r="J15" s="49"/>
      <c r="K15" s="49"/>
    </row>
    <row r="16" spans="1:11" x14ac:dyDescent="0.25">
      <c r="A16" s="49"/>
      <c r="B16" s="778" t="s">
        <v>1410</v>
      </c>
      <c r="C16" s="50"/>
      <c r="D16" s="50"/>
      <c r="E16" s="50"/>
      <c r="F16" s="49"/>
      <c r="G16" s="49"/>
      <c r="H16" s="49"/>
      <c r="I16" s="49"/>
      <c r="J16" s="49"/>
      <c r="K16" s="49"/>
    </row>
    <row r="17" spans="1:13" x14ac:dyDescent="0.25">
      <c r="A17" s="49"/>
      <c r="B17" s="50"/>
      <c r="C17" s="50"/>
      <c r="D17" s="50"/>
      <c r="E17" s="50"/>
      <c r="F17" s="49"/>
      <c r="G17" s="49"/>
      <c r="H17" s="49"/>
      <c r="I17" s="49"/>
      <c r="J17" s="49"/>
      <c r="K17" s="49"/>
    </row>
    <row r="18" spans="1:13" ht="15" customHeight="1" x14ac:dyDescent="0.25">
      <c r="A18" s="49"/>
      <c r="B18" s="686" t="s">
        <v>297</v>
      </c>
      <c r="C18" s="681"/>
      <c r="D18" s="681"/>
      <c r="E18" s="681"/>
      <c r="F18" s="681"/>
      <c r="G18" s="682"/>
      <c r="H18" s="49"/>
      <c r="I18" s="49"/>
      <c r="J18" s="49"/>
      <c r="K18" s="49"/>
    </row>
    <row r="19" spans="1:13" ht="15" customHeight="1" x14ac:dyDescent="0.25">
      <c r="A19" s="49"/>
      <c r="B19" s="572" t="s">
        <v>718</v>
      </c>
      <c r="C19" s="680"/>
      <c r="D19" s="680"/>
      <c r="E19" s="680"/>
      <c r="F19" s="680"/>
      <c r="G19" s="683"/>
      <c r="H19" s="49"/>
      <c r="I19" s="49"/>
      <c r="J19" s="49"/>
      <c r="K19" s="49"/>
    </row>
    <row r="20" spans="1:13" ht="15" customHeight="1" x14ac:dyDescent="0.25">
      <c r="A20" s="49"/>
      <c r="B20" s="574" t="s">
        <v>298</v>
      </c>
      <c r="C20" s="684"/>
      <c r="D20" s="684"/>
      <c r="E20" s="684"/>
      <c r="F20" s="684"/>
      <c r="G20" s="685"/>
      <c r="H20" s="49"/>
      <c r="I20" s="49"/>
      <c r="J20" s="49"/>
      <c r="K20" s="49"/>
    </row>
    <row r="21" spans="1:13" ht="15" customHeight="1" x14ac:dyDescent="0.25">
      <c r="A21" s="49"/>
      <c r="B21" s="83"/>
      <c r="C21" s="49"/>
      <c r="D21" s="49"/>
      <c r="E21" s="49"/>
      <c r="F21" s="49"/>
      <c r="G21" s="49"/>
      <c r="H21" s="49"/>
      <c r="I21" s="49"/>
      <c r="J21" s="49"/>
      <c r="K21" s="49"/>
    </row>
    <row r="22" spans="1:13" x14ac:dyDescent="0.25">
      <c r="A22" s="49"/>
      <c r="B22" s="1597" t="s">
        <v>1163</v>
      </c>
      <c r="C22" s="1597"/>
      <c r="D22" s="1597"/>
      <c r="E22" s="1597"/>
      <c r="F22" s="1597"/>
      <c r="G22" s="49"/>
      <c r="H22" s="49"/>
      <c r="I22" s="49"/>
      <c r="J22" s="49"/>
      <c r="K22" s="49"/>
    </row>
    <row r="23" spans="1:13" ht="9" customHeight="1" x14ac:dyDescent="0.25">
      <c r="A23" s="49"/>
      <c r="B23" s="647"/>
      <c r="C23" s="647"/>
      <c r="D23" s="647"/>
      <c r="E23" s="647"/>
      <c r="F23" s="647"/>
      <c r="G23" s="49"/>
      <c r="H23" s="49"/>
      <c r="I23" s="49"/>
      <c r="J23" s="49"/>
      <c r="K23" s="49"/>
    </row>
    <row r="24" spans="1:13" ht="18" customHeight="1" x14ac:dyDescent="0.25">
      <c r="A24" s="49"/>
      <c r="B24" s="1843" t="s">
        <v>1409</v>
      </c>
      <c r="C24" s="1843"/>
      <c r="D24" s="1843"/>
      <c r="E24" s="1843"/>
      <c r="F24" s="1280" t="s">
        <v>124</v>
      </c>
      <c r="G24" s="49"/>
      <c r="H24" s="49"/>
      <c r="I24" s="49"/>
      <c r="J24" s="49"/>
      <c r="K24" s="49"/>
      <c r="L24" s="80" t="b">
        <v>0</v>
      </c>
      <c r="M24" s="80" t="b">
        <v>0</v>
      </c>
    </row>
    <row r="25" spans="1:13" ht="18" customHeight="1" x14ac:dyDescent="0.25">
      <c r="A25" s="49"/>
      <c r="B25" s="1843" t="s">
        <v>1162</v>
      </c>
      <c r="C25" s="1843"/>
      <c r="D25" s="1843"/>
      <c r="E25" s="1843"/>
      <c r="F25" s="1280" t="s">
        <v>124</v>
      </c>
      <c r="G25" s="49"/>
      <c r="H25" s="49"/>
      <c r="I25" s="49"/>
      <c r="J25" s="49"/>
      <c r="K25" s="49"/>
      <c r="L25" s="80" t="b">
        <v>0</v>
      </c>
      <c r="M25" s="80" t="b">
        <v>0</v>
      </c>
    </row>
    <row r="26" spans="1:13" ht="19.5" customHeight="1" x14ac:dyDescent="0.25">
      <c r="A26" s="49"/>
      <c r="B26" s="83"/>
      <c r="C26" s="49"/>
      <c r="D26" s="49"/>
      <c r="E26" s="49"/>
      <c r="F26" s="49"/>
      <c r="G26" s="49"/>
      <c r="H26" s="49"/>
      <c r="I26" s="49"/>
      <c r="J26" s="49"/>
      <c r="K26" s="49"/>
    </row>
    <row r="27" spans="1:13" ht="15" customHeight="1" x14ac:dyDescent="0.25">
      <c r="A27" s="49"/>
      <c r="B27" s="2225" t="s">
        <v>1411</v>
      </c>
      <c r="C27" s="1844"/>
      <c r="D27" s="1844"/>
      <c r="E27" s="1844"/>
      <c r="F27" s="1844"/>
      <c r="G27" s="1844"/>
      <c r="H27" s="1844"/>
      <c r="I27" s="49"/>
      <c r="J27" s="49"/>
      <c r="K27" s="49"/>
    </row>
    <row r="28" spans="1:13" ht="18" customHeight="1" x14ac:dyDescent="0.25">
      <c r="A28" s="49"/>
      <c r="B28" s="663"/>
      <c r="C28" s="647"/>
      <c r="D28" s="647"/>
      <c r="E28" s="647"/>
      <c r="F28" s="647"/>
      <c r="G28" s="647"/>
      <c r="H28" s="647"/>
      <c r="I28" s="49"/>
      <c r="J28" s="49"/>
      <c r="K28" s="49"/>
    </row>
    <row r="29" spans="1:13" ht="15" customHeight="1" x14ac:dyDescent="0.25">
      <c r="A29" s="49"/>
      <c r="B29" s="688" t="s">
        <v>1164</v>
      </c>
      <c r="C29" s="687"/>
      <c r="D29" s="687"/>
      <c r="E29" s="687"/>
      <c r="F29" s="687"/>
      <c r="G29" s="647"/>
      <c r="H29" s="647"/>
      <c r="I29" s="49"/>
      <c r="J29" s="49"/>
      <c r="K29" s="49"/>
    </row>
    <row r="30" spans="1:13" ht="9" customHeight="1" x14ac:dyDescent="0.25">
      <c r="A30" s="49"/>
      <c r="B30" s="651"/>
      <c r="C30" s="651"/>
      <c r="D30" s="651"/>
      <c r="E30" s="651"/>
      <c r="F30" s="651"/>
      <c r="G30" s="647"/>
      <c r="H30" s="647"/>
      <c r="I30" s="49"/>
      <c r="J30" s="49"/>
      <c r="K30" s="49"/>
    </row>
    <row r="31" spans="1:13" ht="18" customHeight="1" x14ac:dyDescent="0.25">
      <c r="A31" s="49"/>
      <c r="B31" s="2230" t="s">
        <v>1165</v>
      </c>
      <c r="C31" s="2185"/>
      <c r="D31" s="2185"/>
      <c r="E31" s="2185"/>
      <c r="F31" s="501" t="s">
        <v>1166</v>
      </c>
      <c r="G31" s="2185" t="s">
        <v>30</v>
      </c>
      <c r="H31" s="2186"/>
      <c r="I31" s="49"/>
      <c r="J31" s="49"/>
      <c r="K31" s="49"/>
    </row>
    <row r="32" spans="1:13" ht="27" customHeight="1" x14ac:dyDescent="0.25">
      <c r="A32" s="49"/>
      <c r="B32" s="2226" t="s">
        <v>299</v>
      </c>
      <c r="C32" s="2227"/>
      <c r="D32" s="2227"/>
      <c r="E32" s="2227"/>
      <c r="F32" s="660" t="s">
        <v>124</v>
      </c>
      <c r="G32" s="1982"/>
      <c r="H32" s="1982"/>
      <c r="I32" s="49"/>
      <c r="J32" s="49"/>
      <c r="K32" s="49"/>
    </row>
    <row r="33" spans="1:11" ht="27" customHeight="1" x14ac:dyDescent="0.25">
      <c r="A33" s="49"/>
      <c r="B33" s="1692" t="s">
        <v>300</v>
      </c>
      <c r="C33" s="1693"/>
      <c r="D33" s="1693"/>
      <c r="E33" s="1693"/>
      <c r="F33" s="689" t="s">
        <v>124</v>
      </c>
      <c r="G33" s="2229"/>
      <c r="H33" s="2229"/>
      <c r="I33" s="49"/>
      <c r="J33" s="49"/>
      <c r="K33" s="49"/>
    </row>
    <row r="34" spans="1:11" ht="27" customHeight="1" x14ac:dyDescent="0.25">
      <c r="A34" s="49"/>
      <c r="B34" s="1692" t="s">
        <v>301</v>
      </c>
      <c r="C34" s="1693"/>
      <c r="D34" s="1693"/>
      <c r="E34" s="1693"/>
      <c r="F34" s="689" t="s">
        <v>124</v>
      </c>
      <c r="G34" s="2229"/>
      <c r="H34" s="2229"/>
      <c r="I34" s="49"/>
      <c r="J34" s="49"/>
      <c r="K34" s="49"/>
    </row>
    <row r="35" spans="1:11" ht="27" customHeight="1" x14ac:dyDescent="0.25">
      <c r="A35" s="49"/>
      <c r="B35" s="1692" t="s">
        <v>302</v>
      </c>
      <c r="C35" s="1693"/>
      <c r="D35" s="1693"/>
      <c r="E35" s="1693"/>
      <c r="F35" s="689" t="s">
        <v>124</v>
      </c>
      <c r="G35" s="2229"/>
      <c r="H35" s="2229"/>
      <c r="I35" s="49"/>
      <c r="J35" s="49"/>
      <c r="K35" s="49"/>
    </row>
    <row r="36" spans="1:11" ht="27" customHeight="1" x14ac:dyDescent="0.25">
      <c r="A36" s="49"/>
      <c r="B36" s="1692" t="s">
        <v>303</v>
      </c>
      <c r="C36" s="1693"/>
      <c r="D36" s="1693"/>
      <c r="E36" s="1693"/>
      <c r="F36" s="689" t="s">
        <v>124</v>
      </c>
      <c r="G36" s="2229"/>
      <c r="H36" s="2229"/>
      <c r="I36" s="49"/>
      <c r="J36" s="49"/>
      <c r="K36" s="49"/>
    </row>
    <row r="37" spans="1:11" ht="18" customHeight="1" x14ac:dyDescent="0.25">
      <c r="A37" s="49"/>
      <c r="B37" s="50"/>
      <c r="C37" s="50"/>
      <c r="D37" s="50"/>
      <c r="E37" s="50"/>
      <c r="F37" s="49"/>
      <c r="G37" s="49"/>
      <c r="H37" s="647"/>
      <c r="I37" s="78"/>
      <c r="J37" s="49"/>
      <c r="K37" s="49"/>
    </row>
    <row r="38" spans="1:11" ht="18" customHeight="1" x14ac:dyDescent="0.25">
      <c r="A38" s="49"/>
      <c r="B38" s="2228" t="s">
        <v>1167</v>
      </c>
      <c r="C38" s="2228"/>
      <c r="D38" s="690" t="str">
        <f>IF(F24="Yes",IF(F25="No","Yes",IF(COUNTIF(F32:F36,"Yes")&gt;0,"Yes","No")),"No")</f>
        <v>No</v>
      </c>
      <c r="E38" s="50"/>
      <c r="F38" s="49"/>
      <c r="G38" s="49"/>
      <c r="H38" s="49"/>
      <c r="I38" s="78"/>
      <c r="J38" s="49"/>
      <c r="K38" s="49"/>
    </row>
    <row r="39" spans="1:11" ht="18" customHeight="1" x14ac:dyDescent="0.25">
      <c r="A39" s="49"/>
      <c r="B39" s="50"/>
      <c r="C39" s="50"/>
      <c r="D39" s="50"/>
      <c r="E39" s="50"/>
      <c r="F39" s="49"/>
      <c r="G39" s="49"/>
      <c r="H39" s="49"/>
      <c r="I39" s="78"/>
      <c r="J39" s="49"/>
      <c r="K39" s="49"/>
    </row>
    <row r="40" spans="1:11" ht="18" customHeight="1" x14ac:dyDescent="0.25">
      <c r="A40" s="2180" t="s">
        <v>186</v>
      </c>
      <c r="B40" s="2180"/>
      <c r="C40" s="2180"/>
      <c r="D40" s="2180"/>
      <c r="E40" s="2180"/>
      <c r="F40" s="2180"/>
      <c r="G40" s="2180"/>
      <c r="H40" s="2180"/>
      <c r="I40" s="2180"/>
      <c r="J40" s="2180"/>
      <c r="K40" s="2180"/>
    </row>
    <row r="41" spans="1:11" ht="16.5" customHeight="1" x14ac:dyDescent="0.25">
      <c r="A41" s="49"/>
      <c r="B41" s="50"/>
      <c r="C41" s="50"/>
      <c r="D41" s="50"/>
      <c r="E41" s="50"/>
      <c r="F41" s="49"/>
      <c r="G41" s="49"/>
      <c r="H41" s="49"/>
      <c r="I41" s="78"/>
      <c r="J41" s="49"/>
      <c r="K41" s="49"/>
    </row>
    <row r="42" spans="1:11" ht="18" customHeight="1" x14ac:dyDescent="0.25">
      <c r="A42" s="49"/>
      <c r="B42" s="2183" t="s">
        <v>1739</v>
      </c>
      <c r="C42" s="2184"/>
      <c r="D42" s="2184"/>
      <c r="E42" s="2184"/>
      <c r="F42" s="2184"/>
      <c r="G42" s="1100" t="s">
        <v>1737</v>
      </c>
      <c r="H42" s="2185" t="s">
        <v>1738</v>
      </c>
      <c r="I42" s="2186"/>
      <c r="J42" s="49"/>
      <c r="K42" s="49"/>
    </row>
    <row r="43" spans="1:11" ht="27" customHeight="1" x14ac:dyDescent="0.25">
      <c r="A43" s="49"/>
      <c r="B43" s="2231" t="s">
        <v>1156</v>
      </c>
      <c r="C43" s="2232"/>
      <c r="D43" s="2232"/>
      <c r="E43" s="2232"/>
      <c r="F43" s="2233"/>
      <c r="G43" s="471" t="s">
        <v>124</v>
      </c>
      <c r="H43" s="1931"/>
      <c r="I43" s="1932"/>
      <c r="J43" s="49"/>
      <c r="K43" s="49"/>
    </row>
    <row r="44" spans="1:11" ht="27" customHeight="1" x14ac:dyDescent="0.25">
      <c r="A44" s="49"/>
      <c r="B44" s="2231" t="s">
        <v>1157</v>
      </c>
      <c r="C44" s="2232"/>
      <c r="D44" s="2232"/>
      <c r="E44" s="2232"/>
      <c r="F44" s="2233"/>
      <c r="G44" s="777" t="s">
        <v>124</v>
      </c>
      <c r="H44" s="1931"/>
      <c r="I44" s="1932"/>
      <c r="J44" s="49"/>
      <c r="K44" s="49"/>
    </row>
    <row r="45" spans="1:11" ht="18" customHeight="1" x14ac:dyDescent="0.25">
      <c r="A45" s="49"/>
      <c r="B45" s="50"/>
      <c r="C45" s="50"/>
      <c r="D45" s="50"/>
      <c r="E45" s="50"/>
      <c r="F45" s="49"/>
      <c r="G45" s="49"/>
      <c r="H45" s="49"/>
      <c r="I45" s="78"/>
      <c r="J45" s="78"/>
      <c r="K45" s="78"/>
    </row>
    <row r="46" spans="1:11" ht="18" customHeight="1" x14ac:dyDescent="0.25">
      <c r="A46" s="2180" t="s">
        <v>22</v>
      </c>
      <c r="B46" s="2180"/>
      <c r="C46" s="2180"/>
      <c r="D46" s="2180"/>
      <c r="E46" s="2180"/>
      <c r="F46" s="2180"/>
      <c r="G46" s="2180"/>
      <c r="H46" s="2180"/>
      <c r="I46" s="2180"/>
      <c r="J46" s="2180"/>
      <c r="K46" s="2180"/>
    </row>
    <row r="47" spans="1:11" x14ac:dyDescent="0.25">
      <c r="A47" s="49"/>
      <c r="B47" s="50"/>
      <c r="C47" s="50"/>
      <c r="D47" s="50"/>
      <c r="E47" s="50"/>
      <c r="F47" s="49"/>
      <c r="G47" s="49"/>
      <c r="H47" s="49"/>
      <c r="I47" s="49"/>
      <c r="J47" s="49"/>
      <c r="K47" s="49"/>
    </row>
    <row r="48" spans="1:11" ht="18" customHeight="1" x14ac:dyDescent="0.25">
      <c r="A48" s="49"/>
      <c r="B48" s="236" t="s">
        <v>53</v>
      </c>
      <c r="C48" s="10">
        <f>IF(D38="Yes",1,0)</f>
        <v>0</v>
      </c>
      <c r="D48" s="50"/>
      <c r="E48" s="49"/>
      <c r="F48" s="49"/>
      <c r="G48" s="49"/>
      <c r="H48" s="49"/>
      <c r="I48" s="49"/>
      <c r="J48" s="49"/>
      <c r="K48" s="49"/>
    </row>
    <row r="49" spans="1:11" ht="18" customHeight="1" x14ac:dyDescent="0.25">
      <c r="A49" s="49"/>
      <c r="B49" s="236" t="s">
        <v>492</v>
      </c>
      <c r="C49" s="181" t="str">
        <f>IF(AND(G43="Submitted",C48&gt;0),IF(L25=FALSE,"Yes",IF(G44="Submitted","Yes","No")),"No")</f>
        <v>No</v>
      </c>
      <c r="D49" s="49"/>
      <c r="E49" s="49"/>
      <c r="F49" s="49"/>
      <c r="G49" s="49"/>
      <c r="H49" s="49"/>
      <c r="I49" s="49"/>
      <c r="J49" s="49"/>
      <c r="K49" s="49"/>
    </row>
    <row r="50" spans="1:11" ht="21" customHeight="1" x14ac:dyDescent="0.25">
      <c r="A50" s="49"/>
      <c r="B50" s="50"/>
      <c r="C50" s="50"/>
      <c r="D50" s="50"/>
      <c r="E50" s="50"/>
      <c r="F50" s="49"/>
      <c r="G50" s="49"/>
      <c r="H50" s="49"/>
      <c r="I50" s="49"/>
      <c r="J50" s="49"/>
      <c r="K50" s="49"/>
    </row>
    <row r="51" spans="1:11" hidden="1" x14ac:dyDescent="0.25">
      <c r="A51" s="49"/>
      <c r="B51" s="50"/>
      <c r="C51" s="50"/>
      <c r="D51" s="50"/>
      <c r="E51" s="50"/>
      <c r="F51" s="49"/>
      <c r="G51" s="49"/>
      <c r="H51" s="49"/>
      <c r="I51" s="49"/>
    </row>
    <row r="52" spans="1:11" hidden="1" x14ac:dyDescent="0.25"/>
    <row r="53" spans="1:11" ht="15" hidden="1" customHeight="1" x14ac:dyDescent="0.25"/>
    <row r="54" spans="1:11" ht="15" hidden="1" customHeight="1" x14ac:dyDescent="0.25"/>
    <row r="55" spans="1:11" ht="15" hidden="1" customHeight="1" x14ac:dyDescent="0.25"/>
    <row r="56" spans="1:11" ht="15" hidden="1" customHeight="1" x14ac:dyDescent="0.25"/>
  </sheetData>
  <sheetProtection algorithmName="SHA-512" hashValue="JavUrOXW/qFPLU/nMsZVxGrxikB9CEdaDoThDiPG4M8/zkQCGIumvVeraxJvCmUSRb099onDCx2ijrHprmMYwA==" saltValue="YrNfL/YspBY+iHwShirsgg==" spinCount="100000" sheet="1" objects="1" scenarios="1"/>
  <mergeCells count="32">
    <mergeCell ref="B35:E35"/>
    <mergeCell ref="B36:E36"/>
    <mergeCell ref="B43:F43"/>
    <mergeCell ref="B42:F42"/>
    <mergeCell ref="H42:I42"/>
    <mergeCell ref="H43:I43"/>
    <mergeCell ref="A40:K40"/>
    <mergeCell ref="A1:K1"/>
    <mergeCell ref="B22:F22"/>
    <mergeCell ref="B11:E11"/>
    <mergeCell ref="B12:E12"/>
    <mergeCell ref="B25:E25"/>
    <mergeCell ref="G2:H4"/>
    <mergeCell ref="A5:K7"/>
    <mergeCell ref="A9:K9"/>
    <mergeCell ref="A14:K14"/>
    <mergeCell ref="A46:K46"/>
    <mergeCell ref="B27:H27"/>
    <mergeCell ref="B32:E32"/>
    <mergeCell ref="B38:C38"/>
    <mergeCell ref="B24:E24"/>
    <mergeCell ref="G34:H34"/>
    <mergeCell ref="G35:H35"/>
    <mergeCell ref="G32:H32"/>
    <mergeCell ref="G33:H33"/>
    <mergeCell ref="G36:H36"/>
    <mergeCell ref="B31:E31"/>
    <mergeCell ref="G31:H31"/>
    <mergeCell ref="B33:E33"/>
    <mergeCell ref="H44:I44"/>
    <mergeCell ref="B44:F44"/>
    <mergeCell ref="B34:E34"/>
  </mergeCells>
  <conditionalFormatting sqref="G43:G44">
    <cfRule type="expression" dxfId="58" priority="3">
      <formula>#REF!&lt;&gt;"Prescriptive Path"</formula>
    </cfRule>
  </conditionalFormatting>
  <conditionalFormatting sqref="H42:I42">
    <cfRule type="expression" dxfId="57" priority="2">
      <formula>#REF!&lt;&gt;"Prescriptive Path"</formula>
    </cfRule>
  </conditionalFormatting>
  <conditionalFormatting sqref="H43:H44">
    <cfRule type="expression" dxfId="56" priority="1">
      <formula>#REF!&lt;&gt;"Prescriptive Path"</formula>
    </cfRule>
  </conditionalFormatting>
  <dataValidations count="2">
    <dataValidation type="list" allowBlank="1" showInputMessage="1" showErrorMessage="1" sqref="F32:F36 F24:F25" xr:uid="{00000000-0002-0000-2E00-000000000000}">
      <formula1>"Select,Yes,No"</formula1>
    </dataValidation>
    <dataValidation type="list" allowBlank="1" showInputMessage="1" showErrorMessage="1" sqref="G43:G44" xr:uid="{00000000-0002-0000-2E00-000001000000}">
      <formula1>"Select,Submitted,Not submitted"</formula1>
    </dataValidation>
  </dataValidations>
  <hyperlinks>
    <hyperlink ref="I3" location="'LE-2 Site design'!B3" tooltip="LE-2" display="LE-2" xr:uid="{00000000-0004-0000-2E00-000000000000}"/>
    <hyperlink ref="I4" location="'LE-3 Vegetation'!D3" tooltip="LE-3" display="LE-3" xr:uid="{00000000-0004-0000-2E00-000001000000}"/>
    <hyperlink ref="J4" location="'LE-7 Refrigerants'!E3" tooltip="LE-7" display="LE-7" xr:uid="{00000000-0004-0000-2E00-000002000000}"/>
    <hyperlink ref="I2" location="'LE-1 Site Selection'!B3" tooltip="LE-1" display="LE-1" xr:uid="{00000000-0004-0000-2E00-000003000000}"/>
    <hyperlink ref="J2" location="'LE-4 Heat Island Effect'!D3" tooltip="LE-4" display="LE-4" xr:uid="{00000000-0004-0000-2E00-000004000000}"/>
    <hyperlink ref="K3" location="'LE-8 Recycling Storage Area'!B3" tooltip="LE-8" display="LE-8" xr:uid="{00000000-0004-0000-2E00-000005000000}"/>
    <hyperlink ref="J3" location="'LE-5 Storm Water Runoff'!B3" tooltip="LE-5" display="LE-5" xr:uid="{00000000-0004-0000-2E00-000006000000}"/>
  </hyperlinks>
  <pageMargins left="0.7" right="0.7" top="0.75" bottom="0.75" header="0.3" footer="0.3"/>
  <pageSetup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10">
    <tabColor rgb="FF76923C"/>
  </sheetPr>
  <dimension ref="A1:N97"/>
  <sheetViews>
    <sheetView showRowColHeaders="0" zoomScaleNormal="100" workbookViewId="0">
      <pane ySplit="8" topLeftCell="A54" activePane="bottomLeft" state="frozen"/>
      <selection activeCell="M21" sqref="M21"/>
      <selection pane="bottomLeft" activeCell="E3" sqref="E3"/>
    </sheetView>
  </sheetViews>
  <sheetFormatPr defaultColWidth="0" defaultRowHeight="15" zeroHeight="1" x14ac:dyDescent="0.25"/>
  <cols>
    <col min="1" max="1" width="4.7109375" style="38" customWidth="1"/>
    <col min="2" max="3" width="18.42578125" style="38" customWidth="1"/>
    <col min="4" max="4" width="16.7109375" style="38" customWidth="1"/>
    <col min="5" max="5" width="15.85546875" style="38" customWidth="1"/>
    <col min="6" max="7" width="16.7109375" style="38" customWidth="1"/>
    <col min="8" max="8" width="17.28515625" style="38" customWidth="1"/>
    <col min="9" max="9" width="17.7109375" style="38" customWidth="1"/>
    <col min="10" max="10" width="15.5703125" style="38" customWidth="1"/>
    <col min="11" max="13" width="8.7109375" style="38" customWidth="1"/>
    <col min="14" max="14" width="0" style="38" hidden="1" customWidth="1"/>
    <col min="15" max="16384" width="9.140625" style="38" hidden="1"/>
  </cols>
  <sheetData>
    <row r="1" spans="1:13" ht="24" customHeight="1" x14ac:dyDescent="0.25">
      <c r="A1" s="1348" t="s">
        <v>114</v>
      </c>
      <c r="B1" s="1348"/>
      <c r="C1" s="1348"/>
      <c r="D1" s="1348"/>
      <c r="E1" s="1348"/>
      <c r="F1" s="1348"/>
      <c r="G1" s="1348"/>
      <c r="H1" s="1348"/>
      <c r="I1" s="1348"/>
      <c r="J1" s="1348"/>
      <c r="K1" s="1348"/>
      <c r="L1" s="1348"/>
      <c r="M1" s="1348"/>
    </row>
    <row r="2" spans="1:13" ht="15" customHeight="1" x14ac:dyDescent="0.25">
      <c r="A2" s="49"/>
      <c r="B2" s="50"/>
      <c r="C2" s="50"/>
      <c r="D2" s="50"/>
      <c r="E2" s="50"/>
      <c r="F2" s="49"/>
      <c r="G2" s="1585" t="s">
        <v>1761</v>
      </c>
      <c r="H2" s="1585"/>
      <c r="I2" s="1585"/>
      <c r="J2" s="1585"/>
      <c r="K2" s="230" t="s">
        <v>57</v>
      </c>
      <c r="L2" s="230" t="s">
        <v>69</v>
      </c>
      <c r="M2" s="230"/>
    </row>
    <row r="3" spans="1:13" ht="15" customHeight="1" x14ac:dyDescent="0.25">
      <c r="A3" s="49"/>
      <c r="B3" s="50"/>
      <c r="C3" s="50"/>
      <c r="D3" s="50"/>
      <c r="E3" s="50"/>
      <c r="F3" s="49"/>
      <c r="G3" s="1585"/>
      <c r="H3" s="1585"/>
      <c r="I3" s="1585"/>
      <c r="J3" s="1585"/>
      <c r="K3" s="230" t="s">
        <v>61</v>
      </c>
      <c r="L3" s="230" t="s">
        <v>73</v>
      </c>
      <c r="M3" s="230" t="s">
        <v>155</v>
      </c>
    </row>
    <row r="4" spans="1:13" ht="15" customHeight="1" x14ac:dyDescent="0.25">
      <c r="A4" s="49"/>
      <c r="B4" s="50"/>
      <c r="C4" s="50"/>
      <c r="D4" s="50"/>
      <c r="E4" s="50"/>
      <c r="F4" s="49"/>
      <c r="G4" s="1586"/>
      <c r="H4" s="1586"/>
      <c r="I4" s="1586"/>
      <c r="J4" s="1586"/>
      <c r="K4" s="230" t="s">
        <v>65</v>
      </c>
      <c r="L4" s="230" t="s">
        <v>77</v>
      </c>
      <c r="M4" s="213"/>
    </row>
    <row r="5" spans="1:13" ht="21.75" customHeight="1" x14ac:dyDescent="0.25">
      <c r="A5" s="1600" t="s">
        <v>2660</v>
      </c>
      <c r="B5" s="1601"/>
      <c r="C5" s="1601"/>
      <c r="D5" s="1601"/>
      <c r="E5" s="1601"/>
      <c r="F5" s="1601"/>
      <c r="G5" s="1601"/>
      <c r="H5" s="1601"/>
      <c r="I5" s="1601"/>
      <c r="J5" s="1601"/>
      <c r="K5" s="1601"/>
      <c r="L5" s="172"/>
      <c r="M5" s="173"/>
    </row>
    <row r="6" spans="1:13" ht="21.75" customHeight="1" x14ac:dyDescent="0.25">
      <c r="A6" s="1603"/>
      <c r="B6" s="1604"/>
      <c r="C6" s="1604"/>
      <c r="D6" s="1604"/>
      <c r="E6" s="1604"/>
      <c r="F6" s="1604"/>
      <c r="G6" s="1604"/>
      <c r="H6" s="1604"/>
      <c r="I6" s="1604"/>
      <c r="J6" s="1604"/>
      <c r="K6" s="1604"/>
      <c r="L6" s="174"/>
      <c r="M6" s="175"/>
    </row>
    <row r="7" spans="1:13" ht="21.75" customHeight="1" x14ac:dyDescent="0.25">
      <c r="A7" s="1606"/>
      <c r="B7" s="1607"/>
      <c r="C7" s="1607"/>
      <c r="D7" s="1607"/>
      <c r="E7" s="1607"/>
      <c r="F7" s="1607"/>
      <c r="G7" s="1607"/>
      <c r="H7" s="1607"/>
      <c r="I7" s="1607"/>
      <c r="J7" s="1607"/>
      <c r="K7" s="1607"/>
      <c r="L7" s="176"/>
      <c r="M7" s="177"/>
    </row>
    <row r="8" spans="1:13" ht="12" customHeight="1" x14ac:dyDescent="0.25">
      <c r="A8" s="49"/>
      <c r="B8" s="50"/>
      <c r="C8" s="50"/>
      <c r="D8" s="50"/>
      <c r="E8" s="50"/>
      <c r="F8" s="49"/>
      <c r="G8" s="49"/>
      <c r="H8" s="49"/>
      <c r="I8" s="49"/>
      <c r="J8" s="49"/>
      <c r="K8" s="49"/>
      <c r="L8" s="49"/>
      <c r="M8" s="49"/>
    </row>
    <row r="9" spans="1:13" ht="18" customHeight="1" x14ac:dyDescent="0.25">
      <c r="A9" s="2180" t="s">
        <v>177</v>
      </c>
      <c r="B9" s="2180"/>
      <c r="C9" s="2180"/>
      <c r="D9" s="2180"/>
      <c r="E9" s="2180"/>
      <c r="F9" s="2180"/>
      <c r="G9" s="2180"/>
      <c r="H9" s="2180"/>
      <c r="I9" s="2180"/>
      <c r="J9" s="2180"/>
      <c r="K9" s="2180"/>
      <c r="L9" s="2180"/>
      <c r="M9" s="2180"/>
    </row>
    <row r="10" spans="1:13" ht="16.5" customHeight="1" x14ac:dyDescent="0.25">
      <c r="A10" s="49"/>
      <c r="B10" s="50"/>
      <c r="C10" s="50"/>
      <c r="D10" s="50"/>
      <c r="E10" s="50"/>
      <c r="F10" s="49"/>
      <c r="G10" s="49"/>
      <c r="H10" s="49"/>
      <c r="I10" s="49"/>
      <c r="J10" s="49"/>
      <c r="K10" s="49"/>
      <c r="L10" s="49"/>
      <c r="M10" s="49"/>
    </row>
    <row r="11" spans="1:13" ht="16.5" customHeight="1" x14ac:dyDescent="0.25">
      <c r="A11" s="49"/>
      <c r="B11" s="1910" t="s">
        <v>232</v>
      </c>
      <c r="C11" s="1910"/>
      <c r="D11" s="1909" t="s">
        <v>124</v>
      </c>
      <c r="E11" s="1909"/>
      <c r="F11" s="49"/>
      <c r="G11" s="49"/>
      <c r="H11" s="49"/>
      <c r="I11" s="49"/>
      <c r="J11" s="49"/>
      <c r="K11" s="49"/>
      <c r="L11" s="49"/>
      <c r="M11" s="49"/>
    </row>
    <row r="12" spans="1:13" ht="16.5" customHeight="1" x14ac:dyDescent="0.25">
      <c r="A12" s="49"/>
      <c r="B12" s="50"/>
      <c r="C12" s="50"/>
      <c r="D12" s="50"/>
      <c r="E12" s="50"/>
      <c r="F12" s="49"/>
      <c r="G12" s="49"/>
      <c r="H12" s="49"/>
      <c r="I12" s="49"/>
      <c r="J12" s="49"/>
      <c r="K12" s="49"/>
      <c r="L12" s="49"/>
      <c r="M12" s="49"/>
    </row>
    <row r="13" spans="1:13" ht="19.5" customHeight="1" x14ac:dyDescent="0.25">
      <c r="A13" s="49"/>
      <c r="B13" s="2181" t="s">
        <v>193</v>
      </c>
      <c r="C13" s="2182"/>
      <c r="D13" s="2182"/>
      <c r="E13" s="2182"/>
      <c r="F13" s="2182"/>
      <c r="G13" s="640" t="s">
        <v>152</v>
      </c>
      <c r="H13" s="640" t="s">
        <v>53</v>
      </c>
      <c r="I13" s="56" t="s">
        <v>492</v>
      </c>
      <c r="J13" s="49"/>
      <c r="K13" s="49"/>
      <c r="L13" s="49"/>
      <c r="M13" s="49"/>
    </row>
    <row r="14" spans="1:13" ht="22.5" customHeight="1" x14ac:dyDescent="0.25">
      <c r="A14" s="49"/>
      <c r="B14" s="1611" t="s">
        <v>1964</v>
      </c>
      <c r="C14" s="1612"/>
      <c r="D14" s="1612"/>
      <c r="E14" s="1612"/>
      <c r="F14" s="2021"/>
      <c r="G14" s="55">
        <v>1</v>
      </c>
      <c r="H14" s="55" t="str">
        <f>IF(D11="Prescriptive Path",C43,"/")</f>
        <v>/</v>
      </c>
      <c r="I14" s="55" t="str">
        <f>IF(D11="Prescriptive Path",C44,"/")</f>
        <v>/</v>
      </c>
      <c r="J14" s="49"/>
      <c r="K14" s="49"/>
      <c r="L14" s="49"/>
      <c r="M14" s="49"/>
    </row>
    <row r="15" spans="1:13" ht="18" customHeight="1" x14ac:dyDescent="0.25">
      <c r="A15" s="49"/>
      <c r="B15" s="49"/>
      <c r="C15" s="49"/>
      <c r="D15" s="49"/>
      <c r="E15" s="49"/>
      <c r="F15" s="49"/>
      <c r="G15" s="49"/>
      <c r="H15" s="49"/>
      <c r="I15" s="49"/>
      <c r="J15" s="49"/>
      <c r="K15" s="49"/>
      <c r="L15" s="49"/>
      <c r="M15" s="49"/>
    </row>
    <row r="16" spans="1:13" ht="19.5" customHeight="1" x14ac:dyDescent="0.25">
      <c r="A16" s="49"/>
      <c r="B16" s="2181" t="s">
        <v>193</v>
      </c>
      <c r="C16" s="2182"/>
      <c r="D16" s="2182"/>
      <c r="E16" s="2182"/>
      <c r="F16" s="2182"/>
      <c r="G16" s="640" t="s">
        <v>152</v>
      </c>
      <c r="H16" s="640" t="s">
        <v>53</v>
      </c>
      <c r="I16" s="56" t="s">
        <v>492</v>
      </c>
      <c r="J16" s="49"/>
      <c r="K16" s="49"/>
      <c r="L16" s="49"/>
      <c r="M16" s="49"/>
    </row>
    <row r="17" spans="1:13" ht="29.25" customHeight="1" x14ac:dyDescent="0.25">
      <c r="A17" s="49"/>
      <c r="B17" s="1611" t="s">
        <v>1811</v>
      </c>
      <c r="C17" s="1612"/>
      <c r="D17" s="1612"/>
      <c r="E17" s="1612"/>
      <c r="F17" s="2021"/>
      <c r="G17" s="947">
        <v>1</v>
      </c>
      <c r="H17" s="947" t="str">
        <f>IF(D11="Performance Path",C94,"/")</f>
        <v>/</v>
      </c>
      <c r="I17" s="947" t="str">
        <f>IF(D11="Performance Path",C95,"/")</f>
        <v>/</v>
      </c>
      <c r="J17" s="49"/>
      <c r="K17" s="49"/>
      <c r="L17" s="49"/>
      <c r="M17" s="49"/>
    </row>
    <row r="18" spans="1:13" ht="18.75" customHeight="1" x14ac:dyDescent="0.25">
      <c r="A18" s="49"/>
      <c r="B18" s="50"/>
      <c r="C18" s="50"/>
      <c r="D18" s="50"/>
      <c r="E18" s="50"/>
      <c r="F18" s="49"/>
      <c r="G18" s="49"/>
      <c r="H18" s="49"/>
      <c r="I18" s="49"/>
      <c r="J18" s="49"/>
      <c r="K18" s="49"/>
      <c r="L18" s="49"/>
      <c r="M18" s="49"/>
    </row>
    <row r="19" spans="1:13" ht="16.5" customHeight="1" x14ac:dyDescent="0.25">
      <c r="A19" s="2180" t="s">
        <v>16</v>
      </c>
      <c r="B19" s="2180"/>
      <c r="C19" s="2180"/>
      <c r="D19" s="2180"/>
      <c r="E19" s="2180"/>
      <c r="F19" s="2180"/>
      <c r="G19" s="2180"/>
      <c r="H19" s="2180"/>
      <c r="I19" s="2180"/>
      <c r="J19" s="2180"/>
      <c r="K19" s="2180"/>
      <c r="L19" s="2180"/>
      <c r="M19" s="2180"/>
    </row>
    <row r="20" spans="1:13" ht="16.5" customHeight="1" x14ac:dyDescent="0.25">
      <c r="A20" s="49"/>
      <c r="B20" s="50"/>
      <c r="C20" s="50"/>
      <c r="D20" s="50"/>
      <c r="E20" s="50"/>
      <c r="F20" s="49"/>
      <c r="G20" s="49"/>
      <c r="H20" s="49"/>
      <c r="I20" s="49"/>
      <c r="J20" s="49"/>
      <c r="K20" s="49"/>
      <c r="L20" s="49"/>
      <c r="M20" s="49"/>
    </row>
    <row r="21" spans="1:13" ht="18" customHeight="1" x14ac:dyDescent="0.25">
      <c r="A21" s="2166" t="s">
        <v>245</v>
      </c>
      <c r="B21" s="2166"/>
      <c r="C21" s="2166"/>
      <c r="D21" s="50"/>
      <c r="E21" s="50"/>
      <c r="F21" s="50"/>
      <c r="G21" s="50"/>
      <c r="H21" s="50"/>
      <c r="I21" s="50"/>
      <c r="J21" s="50"/>
      <c r="K21" s="50"/>
      <c r="L21" s="50"/>
      <c r="M21" s="49"/>
    </row>
    <row r="22" spans="1:13" ht="13.5" customHeight="1" x14ac:dyDescent="0.25">
      <c r="A22" s="49"/>
      <c r="B22" s="49"/>
      <c r="C22" s="49"/>
      <c r="D22" s="49"/>
      <c r="E22" s="49"/>
      <c r="F22" s="49"/>
      <c r="G22" s="49"/>
      <c r="H22" s="49"/>
      <c r="I22" s="49"/>
      <c r="J22" s="49"/>
      <c r="K22" s="49"/>
      <c r="L22" s="49"/>
      <c r="M22" s="49"/>
    </row>
    <row r="23" spans="1:13" ht="15.75" customHeight="1" x14ac:dyDescent="0.25">
      <c r="A23" s="49"/>
      <c r="B23" s="643" t="s">
        <v>1964</v>
      </c>
      <c r="C23" s="49"/>
      <c r="D23" s="49"/>
      <c r="E23" s="49"/>
      <c r="F23" s="49"/>
      <c r="G23" s="49"/>
      <c r="H23" s="49"/>
      <c r="I23" s="49"/>
      <c r="J23" s="49"/>
      <c r="K23" s="49"/>
      <c r="L23" s="49"/>
      <c r="M23" s="49"/>
    </row>
    <row r="24" spans="1:13" ht="19.5" customHeight="1" x14ac:dyDescent="0.25">
      <c r="A24" s="49"/>
      <c r="B24" s="49"/>
      <c r="C24" s="49"/>
      <c r="D24" s="49"/>
      <c r="E24" s="49"/>
      <c r="F24" s="49"/>
      <c r="G24" s="49"/>
      <c r="H24" s="49"/>
      <c r="I24" s="49"/>
      <c r="J24" s="49"/>
      <c r="K24" s="49"/>
      <c r="L24" s="49"/>
      <c r="M24" s="49"/>
    </row>
    <row r="25" spans="1:13" ht="17.25" customHeight="1" x14ac:dyDescent="0.25">
      <c r="A25" s="49"/>
      <c r="B25" s="1114" t="s">
        <v>1962</v>
      </c>
      <c r="C25" s="1105"/>
      <c r="D25" s="1105"/>
      <c r="E25" s="1105"/>
      <c r="F25" s="1105"/>
      <c r="G25" s="1105"/>
      <c r="H25" s="1105"/>
      <c r="I25" s="1106"/>
      <c r="J25" s="49"/>
      <c r="K25" s="49"/>
      <c r="L25" s="49"/>
      <c r="M25" s="49"/>
    </row>
    <row r="26" spans="1:13" ht="17.25" customHeight="1" x14ac:dyDescent="0.25">
      <c r="A26" s="49"/>
      <c r="B26" s="1115" t="s">
        <v>1963</v>
      </c>
      <c r="C26" s="1107"/>
      <c r="D26" s="1107"/>
      <c r="E26" s="1107"/>
      <c r="F26" s="1107"/>
      <c r="G26" s="1107"/>
      <c r="H26" s="1107"/>
      <c r="I26" s="1108"/>
      <c r="J26" s="49"/>
      <c r="K26" s="49"/>
      <c r="L26" s="49"/>
      <c r="M26" s="49"/>
    </row>
    <row r="27" spans="1:13" ht="17.25" customHeight="1" x14ac:dyDescent="0.25">
      <c r="A27" s="49"/>
      <c r="B27" s="49"/>
      <c r="C27" s="49"/>
      <c r="D27" s="49"/>
      <c r="E27" s="49"/>
      <c r="F27" s="49"/>
      <c r="G27" s="49"/>
      <c r="H27" s="49"/>
      <c r="I27" s="49"/>
      <c r="J27" s="49"/>
      <c r="K27" s="49"/>
      <c r="L27" s="49"/>
      <c r="M27" s="49"/>
    </row>
    <row r="28" spans="1:13" x14ac:dyDescent="0.25">
      <c r="A28" s="49"/>
      <c r="B28" s="642" t="s">
        <v>1107</v>
      </c>
      <c r="C28" s="49"/>
      <c r="D28" s="49"/>
      <c r="E28" s="49"/>
      <c r="F28" s="49"/>
      <c r="G28" s="49"/>
      <c r="H28" s="49"/>
      <c r="I28" s="49"/>
      <c r="J28" s="49"/>
      <c r="K28" s="49"/>
      <c r="L28" s="49"/>
      <c r="M28" s="49"/>
    </row>
    <row r="29" spans="1:13" ht="9" customHeight="1" x14ac:dyDescent="0.25">
      <c r="A29" s="49"/>
      <c r="B29" s="2245"/>
      <c r="C29" s="2245"/>
      <c r="D29" s="2245"/>
      <c r="E29" s="2245"/>
      <c r="F29" s="2245"/>
      <c r="G29" s="49"/>
      <c r="H29" s="49"/>
      <c r="I29" s="49"/>
      <c r="J29" s="49"/>
      <c r="K29" s="49"/>
      <c r="L29" s="49"/>
      <c r="M29" s="49"/>
    </row>
    <row r="30" spans="1:13" ht="18" customHeight="1" x14ac:dyDescent="0.25">
      <c r="A30" s="49"/>
      <c r="B30" s="1843" t="str">
        <f>IF('Project information'!C7="Certification stage","• Are some air-conditioning systems installed in the building?","• Will some air-conditioning systems be installed in the building?")</f>
        <v>• Will some air-conditioning systems be installed in the building?</v>
      </c>
      <c r="C30" s="1843"/>
      <c r="D30" s="1843"/>
      <c r="E30" s="1843"/>
      <c r="F30" s="1036" t="s">
        <v>124</v>
      </c>
      <c r="G30" s="49"/>
      <c r="H30" s="49"/>
      <c r="I30" s="49"/>
      <c r="J30" s="49"/>
      <c r="K30" s="49"/>
      <c r="L30" s="49"/>
      <c r="M30" s="49"/>
    </row>
    <row r="31" spans="1:13" ht="18" customHeight="1" x14ac:dyDescent="0.25">
      <c r="A31" s="49"/>
      <c r="B31" s="1843" t="s">
        <v>1965</v>
      </c>
      <c r="C31" s="1843"/>
      <c r="D31" s="1843"/>
      <c r="E31" s="1843"/>
      <c r="F31" s="1036" t="s">
        <v>124</v>
      </c>
      <c r="G31" s="49"/>
      <c r="H31" s="49"/>
      <c r="I31" s="49"/>
      <c r="J31" s="49"/>
      <c r="K31" s="49"/>
      <c r="L31" s="49"/>
      <c r="M31" s="49"/>
    </row>
    <row r="32" spans="1:13" x14ac:dyDescent="0.25">
      <c r="A32" s="49"/>
      <c r="B32" s="50"/>
      <c r="C32" s="50"/>
      <c r="D32" s="50"/>
      <c r="E32" s="50"/>
      <c r="F32" s="49"/>
      <c r="G32" s="49"/>
      <c r="H32" s="49"/>
      <c r="I32" s="78"/>
      <c r="J32" s="78"/>
      <c r="K32" s="78"/>
      <c r="L32" s="78"/>
      <c r="M32" s="49"/>
    </row>
    <row r="33" spans="1:13" ht="18" customHeight="1" x14ac:dyDescent="0.25">
      <c r="A33" s="49"/>
      <c r="B33" s="2191" t="s">
        <v>1161</v>
      </c>
      <c r="C33" s="2193"/>
      <c r="D33" s="379" t="str">
        <f>IF(OR(F30="No",F31="Yes"),"Yes","No")</f>
        <v>No</v>
      </c>
      <c r="E33" s="50"/>
      <c r="F33" s="49"/>
      <c r="G33" s="49"/>
      <c r="H33" s="49"/>
      <c r="I33" s="78"/>
      <c r="J33" s="78"/>
      <c r="K33" s="78"/>
      <c r="L33" s="78"/>
      <c r="M33" s="49"/>
    </row>
    <row r="34" spans="1:13" x14ac:dyDescent="0.25">
      <c r="A34" s="49"/>
      <c r="B34" s="50"/>
      <c r="C34" s="50"/>
      <c r="D34" s="50"/>
      <c r="E34" s="50"/>
      <c r="F34" s="49"/>
      <c r="G34" s="49"/>
      <c r="H34" s="49"/>
      <c r="I34" s="78"/>
      <c r="J34" s="78"/>
      <c r="K34" s="78"/>
      <c r="L34" s="78"/>
      <c r="M34" s="49"/>
    </row>
    <row r="35" spans="1:13" ht="18" customHeight="1" x14ac:dyDescent="0.25">
      <c r="A35" s="2166" t="s">
        <v>186</v>
      </c>
      <c r="B35" s="2166"/>
      <c r="C35" s="2166"/>
      <c r="D35" s="50"/>
      <c r="E35" s="50"/>
      <c r="F35" s="50"/>
      <c r="G35" s="50"/>
      <c r="H35" s="50"/>
      <c r="I35" s="50"/>
      <c r="J35" s="50"/>
      <c r="K35" s="50"/>
      <c r="L35" s="50"/>
      <c r="M35" s="49"/>
    </row>
    <row r="36" spans="1:13" x14ac:dyDescent="0.25">
      <c r="A36" s="49"/>
      <c r="B36" s="50"/>
      <c r="C36" s="50"/>
      <c r="D36" s="50"/>
      <c r="E36" s="50"/>
      <c r="F36" s="49"/>
      <c r="G36" s="49"/>
      <c r="H36" s="49"/>
      <c r="I36" s="78"/>
      <c r="J36" s="78"/>
      <c r="K36" s="78"/>
      <c r="L36" s="78"/>
      <c r="M36" s="49"/>
    </row>
    <row r="37" spans="1:13" ht="18" customHeight="1" x14ac:dyDescent="0.25">
      <c r="A37" s="49"/>
      <c r="B37" s="2183" t="s">
        <v>1739</v>
      </c>
      <c r="C37" s="2184"/>
      <c r="D37" s="2184"/>
      <c r="E37" s="2184"/>
      <c r="F37" s="2184"/>
      <c r="G37" s="1100" t="s">
        <v>1737</v>
      </c>
      <c r="H37" s="2185" t="s">
        <v>1738</v>
      </c>
      <c r="I37" s="2186"/>
      <c r="J37" s="49"/>
      <c r="K37" s="49"/>
      <c r="L37" s="49"/>
      <c r="M37" s="49"/>
    </row>
    <row r="38" spans="1:13" ht="24" customHeight="1" x14ac:dyDescent="0.25">
      <c r="A38" s="49"/>
      <c r="B38" s="1576" t="s">
        <v>1966</v>
      </c>
      <c r="C38" s="1577"/>
      <c r="D38" s="1577"/>
      <c r="E38" s="1577"/>
      <c r="F38" s="1578"/>
      <c r="G38" s="471" t="s">
        <v>124</v>
      </c>
      <c r="H38" s="1931"/>
      <c r="I38" s="1932"/>
      <c r="J38" s="49"/>
      <c r="K38" s="49"/>
      <c r="L38" s="49"/>
      <c r="M38" s="49"/>
    </row>
    <row r="39" spans="1:13" ht="24" customHeight="1" x14ac:dyDescent="0.25">
      <c r="A39" s="49"/>
      <c r="B39" s="1576" t="s">
        <v>1143</v>
      </c>
      <c r="C39" s="1577"/>
      <c r="D39" s="1577"/>
      <c r="E39" s="1577"/>
      <c r="F39" s="1578"/>
      <c r="G39" s="514" t="s">
        <v>124</v>
      </c>
      <c r="H39" s="1931"/>
      <c r="I39" s="1932"/>
      <c r="J39" s="49"/>
      <c r="K39" s="49"/>
      <c r="L39" s="49"/>
      <c r="M39" s="49"/>
    </row>
    <row r="40" spans="1:13" ht="18.75" customHeight="1" x14ac:dyDescent="0.25">
      <c r="A40" s="49"/>
      <c r="B40" s="50"/>
      <c r="C40" s="50"/>
      <c r="D40" s="50"/>
      <c r="E40" s="50"/>
      <c r="F40" s="49"/>
      <c r="G40" s="49"/>
      <c r="H40" s="49"/>
      <c r="I40" s="78"/>
      <c r="J40" s="78"/>
      <c r="K40" s="78"/>
      <c r="L40" s="49"/>
      <c r="M40" s="49"/>
    </row>
    <row r="41" spans="1:13" ht="18" customHeight="1" x14ac:dyDescent="0.25">
      <c r="A41" s="2166" t="s">
        <v>22</v>
      </c>
      <c r="B41" s="2166"/>
      <c r="C41" s="2166"/>
      <c r="D41" s="50"/>
      <c r="E41" s="50"/>
      <c r="F41" s="50"/>
      <c r="G41" s="50"/>
      <c r="H41" s="50"/>
      <c r="I41" s="50"/>
      <c r="J41" s="50"/>
      <c r="K41" s="50"/>
      <c r="L41" s="49"/>
      <c r="M41" s="49"/>
    </row>
    <row r="42" spans="1:13" x14ac:dyDescent="0.25">
      <c r="A42" s="49"/>
      <c r="B42" s="50"/>
      <c r="C42" s="50"/>
      <c r="D42" s="50"/>
      <c r="E42" s="50"/>
      <c r="F42" s="49"/>
      <c r="G42" s="49"/>
      <c r="H42" s="49"/>
      <c r="I42" s="49"/>
      <c r="J42" s="49"/>
      <c r="K42" s="49"/>
      <c r="L42" s="49"/>
      <c r="M42" s="49"/>
    </row>
    <row r="43" spans="1:13" ht="18" customHeight="1" x14ac:dyDescent="0.25">
      <c r="A43" s="49"/>
      <c r="B43" s="236" t="s">
        <v>53</v>
      </c>
      <c r="C43" s="10">
        <f>IF(D33="Yes",1,0)</f>
        <v>0</v>
      </c>
      <c r="D43" s="50"/>
      <c r="E43" s="49"/>
      <c r="F43" s="49"/>
      <c r="G43" s="49"/>
      <c r="H43" s="49"/>
      <c r="I43" s="49"/>
      <c r="J43" s="49"/>
      <c r="K43" s="49"/>
      <c r="L43" s="49"/>
      <c r="M43" s="49"/>
    </row>
    <row r="44" spans="1:13" ht="18" customHeight="1" x14ac:dyDescent="0.25">
      <c r="A44" s="49"/>
      <c r="B44" s="236" t="s">
        <v>492</v>
      </c>
      <c r="C44" s="181" t="str">
        <f>IF(AND(COUNTIF(G38:G38,"Submitted")=1,C43&gt;0),"Yes","No")</f>
        <v>No</v>
      </c>
      <c r="D44" s="50"/>
      <c r="E44" s="49"/>
      <c r="F44" s="49"/>
      <c r="G44" s="49"/>
      <c r="H44" s="49"/>
      <c r="I44" s="49"/>
      <c r="J44" s="49"/>
      <c r="K44" s="49"/>
      <c r="L44" s="49"/>
      <c r="M44" s="49"/>
    </row>
    <row r="45" spans="1:13" ht="18" customHeight="1" x14ac:dyDescent="0.25">
      <c r="A45" s="49"/>
      <c r="B45" s="50"/>
      <c r="C45" s="50"/>
      <c r="D45" s="50"/>
      <c r="E45" s="50"/>
      <c r="F45" s="49"/>
      <c r="G45" s="49"/>
      <c r="H45" s="49"/>
      <c r="I45" s="49"/>
      <c r="J45" s="49"/>
      <c r="K45" s="49"/>
      <c r="L45" s="49"/>
      <c r="M45" s="49"/>
    </row>
    <row r="46" spans="1:13" ht="16.5" customHeight="1" x14ac:dyDescent="0.25">
      <c r="A46" s="2180" t="s">
        <v>15</v>
      </c>
      <c r="B46" s="2180"/>
      <c r="C46" s="2180"/>
      <c r="D46" s="2180"/>
      <c r="E46" s="2180"/>
      <c r="F46" s="2180"/>
      <c r="G46" s="2180"/>
      <c r="H46" s="2180"/>
      <c r="I46" s="2180"/>
      <c r="J46" s="2180"/>
      <c r="K46" s="2180"/>
      <c r="L46" s="2180"/>
      <c r="M46" s="2180"/>
    </row>
    <row r="47" spans="1:13" ht="16.5" customHeight="1" x14ac:dyDescent="0.25">
      <c r="A47" s="49"/>
      <c r="B47" s="50"/>
      <c r="C47" s="50"/>
      <c r="D47" s="50"/>
      <c r="E47" s="50"/>
      <c r="F47" s="49"/>
      <c r="G47" s="49"/>
      <c r="H47" s="49"/>
      <c r="I47" s="49"/>
      <c r="J47" s="49"/>
      <c r="K47" s="49"/>
      <c r="L47" s="49"/>
      <c r="M47" s="49"/>
    </row>
    <row r="48" spans="1:13" ht="18" customHeight="1" x14ac:dyDescent="0.25">
      <c r="A48" s="2166" t="s">
        <v>245</v>
      </c>
      <c r="B48" s="2166"/>
      <c r="C48" s="2166"/>
      <c r="D48" s="50"/>
      <c r="E48" s="50"/>
      <c r="F48" s="50"/>
      <c r="G48" s="50"/>
      <c r="H48" s="50"/>
      <c r="I48" s="50"/>
      <c r="J48" s="50"/>
      <c r="K48" s="50"/>
      <c r="L48" s="49"/>
      <c r="M48" s="49"/>
    </row>
    <row r="49" spans="1:13" ht="13.5" customHeight="1" x14ac:dyDescent="0.25">
      <c r="A49" s="49"/>
      <c r="B49" s="49"/>
      <c r="C49" s="49"/>
      <c r="D49" s="49"/>
      <c r="E49" s="49"/>
      <c r="F49" s="49"/>
      <c r="G49" s="49"/>
      <c r="H49" s="49"/>
      <c r="I49" s="49"/>
      <c r="J49" s="49"/>
      <c r="K49" s="49"/>
      <c r="L49" s="49"/>
      <c r="M49" s="49"/>
    </row>
    <row r="50" spans="1:13" ht="15.75" customHeight="1" x14ac:dyDescent="0.25">
      <c r="A50" s="49"/>
      <c r="B50" s="1071" t="s">
        <v>1905</v>
      </c>
      <c r="C50" s="49"/>
      <c r="D50" s="49"/>
      <c r="E50" s="49"/>
      <c r="F50" s="49"/>
      <c r="G50" s="49"/>
      <c r="H50" s="49"/>
      <c r="I50" s="49"/>
      <c r="J50" s="49"/>
      <c r="K50" s="49"/>
      <c r="L50" s="49"/>
      <c r="M50" s="49"/>
    </row>
    <row r="51" spans="1:13" ht="18" customHeight="1" x14ac:dyDescent="0.25">
      <c r="A51" s="49"/>
      <c r="B51" s="49"/>
      <c r="C51" s="49"/>
      <c r="D51" s="49"/>
      <c r="E51" s="49"/>
      <c r="F51" s="49"/>
      <c r="G51" s="49"/>
      <c r="H51" s="49"/>
      <c r="I51" s="49"/>
      <c r="J51" s="49"/>
      <c r="K51" s="49"/>
      <c r="L51" s="49"/>
      <c r="M51" s="49"/>
    </row>
    <row r="52" spans="1:13" ht="15.75" customHeight="1" x14ac:dyDescent="0.25">
      <c r="A52" s="49"/>
      <c r="B52" s="2234" t="s">
        <v>1906</v>
      </c>
      <c r="C52" s="2235"/>
      <c r="D52" s="2235"/>
      <c r="E52" s="2235"/>
      <c r="F52" s="2235"/>
      <c r="G52" s="2235"/>
      <c r="H52" s="2235"/>
      <c r="I52" s="2235"/>
      <c r="J52" s="2236"/>
      <c r="K52" s="49"/>
      <c r="L52" s="49"/>
      <c r="M52" s="49"/>
    </row>
    <row r="53" spans="1:13" ht="15.75" customHeight="1" x14ac:dyDescent="0.25">
      <c r="A53" s="49"/>
      <c r="B53" s="2237" t="s">
        <v>1907</v>
      </c>
      <c r="C53" s="2238"/>
      <c r="D53" s="2238"/>
      <c r="E53" s="2238"/>
      <c r="F53" s="2238"/>
      <c r="G53" s="2238"/>
      <c r="H53" s="2238"/>
      <c r="I53" s="2238"/>
      <c r="J53" s="2239"/>
      <c r="K53" s="49"/>
      <c r="L53" s="49"/>
      <c r="M53" s="49"/>
    </row>
    <row r="54" spans="1:13" ht="15.75" customHeight="1" x14ac:dyDescent="0.25">
      <c r="A54" s="49"/>
      <c r="B54" s="2237" t="s">
        <v>1908</v>
      </c>
      <c r="C54" s="2238"/>
      <c r="D54" s="2238"/>
      <c r="E54" s="2238"/>
      <c r="F54" s="2238"/>
      <c r="G54" s="2238"/>
      <c r="H54" s="2238"/>
      <c r="I54" s="2238"/>
      <c r="J54" s="2239"/>
      <c r="K54" s="49"/>
      <c r="L54" s="49"/>
      <c r="M54" s="49"/>
    </row>
    <row r="55" spans="1:13" ht="15.75" customHeight="1" x14ac:dyDescent="0.25">
      <c r="A55" s="49"/>
      <c r="B55" s="2240" t="s">
        <v>1909</v>
      </c>
      <c r="C55" s="2241"/>
      <c r="D55" s="2241"/>
      <c r="E55" s="2241"/>
      <c r="F55" s="2241"/>
      <c r="G55" s="2241"/>
      <c r="H55" s="2241"/>
      <c r="I55" s="2241"/>
      <c r="J55" s="2242"/>
      <c r="K55" s="49"/>
      <c r="L55" s="49"/>
      <c r="M55" s="49"/>
    </row>
    <row r="56" spans="1:13" ht="15.75" customHeight="1" x14ac:dyDescent="0.25">
      <c r="A56" s="49"/>
      <c r="B56" s="645"/>
      <c r="C56" s="49"/>
      <c r="D56" s="49"/>
      <c r="E56" s="49"/>
      <c r="F56" s="49"/>
      <c r="G56" s="49"/>
      <c r="H56" s="49"/>
      <c r="I56" s="49"/>
      <c r="J56" s="49"/>
      <c r="K56" s="49"/>
      <c r="L56" s="49"/>
      <c r="M56" s="49"/>
    </row>
    <row r="57" spans="1:13" ht="16.5" customHeight="1" x14ac:dyDescent="0.25">
      <c r="A57" s="2166" t="s">
        <v>1910</v>
      </c>
      <c r="B57" s="2166"/>
      <c r="C57" s="2166"/>
      <c r="D57" s="49"/>
      <c r="E57" s="49"/>
      <c r="F57" s="49"/>
      <c r="G57" s="49"/>
      <c r="H57" s="49"/>
      <c r="I57" s="49"/>
      <c r="J57" s="49"/>
      <c r="K57" s="49"/>
      <c r="L57" s="49"/>
      <c r="M57" s="49"/>
    </row>
    <row r="58" spans="1:13" ht="13.5" customHeight="1" x14ac:dyDescent="0.25">
      <c r="A58" s="49"/>
      <c r="B58" s="49"/>
      <c r="C58" s="49"/>
      <c r="D58" s="49"/>
      <c r="E58" s="49"/>
      <c r="F58" s="49"/>
      <c r="G58" s="49"/>
      <c r="H58" s="49"/>
      <c r="I58" s="49"/>
      <c r="J58" s="49"/>
      <c r="K58" s="49"/>
      <c r="L58" s="49"/>
      <c r="M58" s="49"/>
    </row>
    <row r="59" spans="1:13" ht="13.5" customHeight="1" x14ac:dyDescent="0.25">
      <c r="A59" s="49"/>
      <c r="B59" s="673" t="s">
        <v>1911</v>
      </c>
      <c r="C59" s="49"/>
      <c r="D59" s="49"/>
      <c r="E59" s="49"/>
      <c r="F59" s="49"/>
      <c r="G59" s="49"/>
      <c r="H59" s="49"/>
      <c r="I59" s="49"/>
      <c r="J59" s="49"/>
      <c r="K59" s="49"/>
      <c r="L59" s="49"/>
      <c r="M59" s="49"/>
    </row>
    <row r="60" spans="1:13" ht="13.5" customHeight="1" x14ac:dyDescent="0.25">
      <c r="A60" s="49"/>
      <c r="B60" s="423"/>
      <c r="C60" s="49"/>
      <c r="D60" s="49"/>
      <c r="E60" s="49"/>
      <c r="F60" s="49"/>
      <c r="G60" s="49"/>
      <c r="H60" s="49"/>
      <c r="I60" s="49"/>
      <c r="J60" s="49"/>
      <c r="K60" s="49"/>
      <c r="L60" s="49"/>
      <c r="M60" s="49"/>
    </row>
    <row r="61" spans="1:13" ht="15" customHeight="1" x14ac:dyDescent="0.3">
      <c r="A61" s="49"/>
      <c r="B61" s="49" t="s">
        <v>1953</v>
      </c>
      <c r="C61" s="49"/>
      <c r="D61" s="49"/>
      <c r="E61" s="49"/>
      <c r="F61" s="49"/>
      <c r="G61" s="49"/>
      <c r="H61" s="49"/>
      <c r="I61" s="49"/>
      <c r="J61" s="49"/>
      <c r="K61" s="49"/>
      <c r="L61" s="49"/>
      <c r="M61" s="49"/>
    </row>
    <row r="62" spans="1:13" ht="15" customHeight="1" x14ac:dyDescent="0.25">
      <c r="A62" s="49"/>
      <c r="B62" s="49" t="s">
        <v>1912</v>
      </c>
      <c r="C62" s="49"/>
      <c r="D62" s="49"/>
      <c r="E62" s="49"/>
      <c r="F62" s="49"/>
      <c r="G62" s="49"/>
      <c r="H62" s="49"/>
      <c r="I62" s="49"/>
      <c r="J62" s="49"/>
      <c r="K62" s="49"/>
      <c r="L62" s="49"/>
      <c r="M62" s="49"/>
    </row>
    <row r="63" spans="1:13" ht="15" customHeight="1" x14ac:dyDescent="0.25">
      <c r="A63" s="49"/>
      <c r="B63" s="49" t="s">
        <v>1913</v>
      </c>
      <c r="C63" s="49"/>
      <c r="D63" s="49"/>
      <c r="E63" s="49"/>
      <c r="F63" s="49"/>
      <c r="G63" s="49"/>
      <c r="H63" s="49"/>
      <c r="I63" s="49"/>
      <c r="J63" s="49"/>
      <c r="K63" s="49"/>
      <c r="L63" s="49"/>
      <c r="M63" s="49"/>
    </row>
    <row r="64" spans="1:13" ht="15" customHeight="1" x14ac:dyDescent="0.25">
      <c r="A64" s="49"/>
      <c r="B64" s="49" t="s">
        <v>1914</v>
      </c>
      <c r="C64" s="49"/>
      <c r="D64" s="49"/>
      <c r="E64" s="49"/>
      <c r="F64" s="49"/>
      <c r="G64" s="49"/>
      <c r="H64" s="49"/>
      <c r="I64" s="49"/>
      <c r="J64" s="49"/>
      <c r="K64" s="49"/>
      <c r="L64" s="49"/>
      <c r="M64" s="49"/>
    </row>
    <row r="65" spans="1:13" ht="15" customHeight="1" x14ac:dyDescent="0.25">
      <c r="A65" s="49"/>
      <c r="B65" s="49" t="s">
        <v>1944</v>
      </c>
      <c r="C65" s="49"/>
      <c r="D65" s="49"/>
      <c r="E65" s="49"/>
      <c r="F65" s="49"/>
      <c r="G65" s="49"/>
      <c r="H65" s="49"/>
      <c r="I65" s="49"/>
      <c r="J65" s="49"/>
      <c r="K65" s="49"/>
      <c r="L65" s="49"/>
      <c r="M65" s="49"/>
    </row>
    <row r="66" spans="1:13" ht="15" customHeight="1" x14ac:dyDescent="0.25">
      <c r="A66" s="49"/>
      <c r="B66" s="49" t="s">
        <v>1915</v>
      </c>
      <c r="C66" s="49"/>
      <c r="D66" s="49"/>
      <c r="E66" s="49"/>
      <c r="F66" s="49"/>
      <c r="G66" s="49"/>
      <c r="H66" s="49"/>
      <c r="I66" s="49"/>
      <c r="J66" s="49"/>
      <c r="K66" s="49"/>
      <c r="L66" s="49"/>
      <c r="M66" s="49"/>
    </row>
    <row r="67" spans="1:13" ht="15.75" customHeight="1" x14ac:dyDescent="0.25">
      <c r="A67" s="49"/>
      <c r="B67" s="645"/>
      <c r="C67" s="49"/>
      <c r="D67" s="49"/>
      <c r="E67" s="49"/>
      <c r="F67" s="49"/>
      <c r="G67" s="49"/>
      <c r="H67" s="49"/>
      <c r="I67" s="49"/>
      <c r="J67" s="49"/>
      <c r="K67" s="49"/>
      <c r="L67" s="49"/>
      <c r="M67" s="49"/>
    </row>
    <row r="68" spans="1:13" ht="17.25" customHeight="1" x14ac:dyDescent="0.25">
      <c r="A68" s="49"/>
      <c r="B68" s="49"/>
      <c r="C68" s="49"/>
      <c r="D68" s="1075" t="s">
        <v>1916</v>
      </c>
      <c r="E68" s="1075" t="s">
        <v>1917</v>
      </c>
      <c r="F68" s="1075" t="s">
        <v>1918</v>
      </c>
      <c r="G68" s="1075" t="s">
        <v>1919</v>
      </c>
      <c r="H68" s="1075" t="s">
        <v>1920</v>
      </c>
      <c r="I68" s="1075" t="s">
        <v>1921</v>
      </c>
      <c r="J68" s="1075" t="s">
        <v>1922</v>
      </c>
      <c r="K68" s="2248" t="s">
        <v>1923</v>
      </c>
      <c r="L68" s="2248"/>
      <c r="M68" s="49"/>
    </row>
    <row r="69" spans="1:13" ht="17.25" customHeight="1" x14ac:dyDescent="0.25">
      <c r="A69" s="49"/>
      <c r="B69" s="2243" t="s">
        <v>354</v>
      </c>
      <c r="C69" s="2244"/>
      <c r="D69" s="1077"/>
      <c r="E69" s="1077"/>
      <c r="F69" s="1077"/>
      <c r="G69" s="1077"/>
      <c r="H69" s="1077"/>
      <c r="I69" s="1077"/>
      <c r="J69" s="1077"/>
      <c r="K69" s="2246"/>
      <c r="L69" s="2246"/>
      <c r="M69" s="49"/>
    </row>
    <row r="70" spans="1:13" ht="17.25" customHeight="1" x14ac:dyDescent="0.25">
      <c r="A70" s="49"/>
      <c r="B70" s="2243" t="s">
        <v>1924</v>
      </c>
      <c r="C70" s="2244"/>
      <c r="D70" s="1084"/>
      <c r="E70" s="1084"/>
      <c r="F70" s="1084"/>
      <c r="G70" s="1084"/>
      <c r="H70" s="1084"/>
      <c r="I70" s="1084"/>
      <c r="J70" s="1084"/>
      <c r="K70" s="2246"/>
      <c r="L70" s="2246"/>
      <c r="M70" s="49"/>
    </row>
    <row r="71" spans="1:13" ht="17.25" customHeight="1" x14ac:dyDescent="0.25">
      <c r="A71" s="49"/>
      <c r="B71" s="2243" t="s">
        <v>1925</v>
      </c>
      <c r="C71" s="2244"/>
      <c r="D71" s="1084"/>
      <c r="E71" s="1084"/>
      <c r="F71" s="1078"/>
      <c r="G71" s="1078"/>
      <c r="H71" s="1078"/>
      <c r="I71" s="1078"/>
      <c r="J71" s="1078"/>
      <c r="K71" s="2246"/>
      <c r="L71" s="2246"/>
      <c r="M71" s="49"/>
    </row>
    <row r="72" spans="1:13" ht="17.25" customHeight="1" x14ac:dyDescent="0.3">
      <c r="A72" s="49"/>
      <c r="B72" s="2243" t="s">
        <v>1926</v>
      </c>
      <c r="C72" s="2244"/>
      <c r="D72" s="1084"/>
      <c r="E72" s="1084"/>
      <c r="F72" s="1084"/>
      <c r="G72" s="1077"/>
      <c r="H72" s="1077"/>
      <c r="I72" s="1077"/>
      <c r="J72" s="1077"/>
      <c r="K72" s="2246"/>
      <c r="L72" s="2246"/>
      <c r="M72" s="49"/>
    </row>
    <row r="73" spans="1:13" ht="17.25" customHeight="1" x14ac:dyDescent="0.25">
      <c r="A73" s="49"/>
      <c r="B73" s="2243" t="s">
        <v>1927</v>
      </c>
      <c r="C73" s="2244"/>
      <c r="D73" s="1084"/>
      <c r="E73" s="1084"/>
      <c r="F73" s="1084"/>
      <c r="G73" s="1077"/>
      <c r="H73" s="1077"/>
      <c r="I73" s="1077"/>
      <c r="J73" s="1077"/>
      <c r="K73" s="2246"/>
      <c r="L73" s="2246"/>
      <c r="M73" s="49"/>
    </row>
    <row r="74" spans="1:13" ht="17.25" customHeight="1" x14ac:dyDescent="0.25">
      <c r="A74" s="49"/>
      <c r="B74" s="2243" t="s">
        <v>1928</v>
      </c>
      <c r="C74" s="2244"/>
      <c r="D74" s="1079" t="str">
        <f t="shared" ref="D74:I74" si="0">IF(D73="","",D73/D72)</f>
        <v/>
      </c>
      <c r="E74" s="1079" t="str">
        <f t="shared" si="0"/>
        <v/>
      </c>
      <c r="F74" s="1079" t="str">
        <f t="shared" si="0"/>
        <v/>
      </c>
      <c r="G74" s="1079" t="str">
        <f t="shared" si="0"/>
        <v/>
      </c>
      <c r="H74" s="1079" t="str">
        <f t="shared" si="0"/>
        <v/>
      </c>
      <c r="I74" s="1079" t="str">
        <f t="shared" si="0"/>
        <v/>
      </c>
      <c r="J74" s="1079" t="str">
        <f>IF(J73="","",J73/J72)</f>
        <v/>
      </c>
      <c r="K74" s="2247" t="str">
        <f>IF(K73="","",J73/K72)</f>
        <v/>
      </c>
      <c r="L74" s="2247"/>
      <c r="M74" s="49"/>
    </row>
    <row r="75" spans="1:13" ht="17.25" customHeight="1" x14ac:dyDescent="0.25">
      <c r="A75" s="49"/>
      <c r="B75" s="2243" t="s">
        <v>1929</v>
      </c>
      <c r="C75" s="2244"/>
      <c r="D75" s="1084"/>
      <c r="E75" s="1084"/>
      <c r="F75" s="1084"/>
      <c r="G75" s="1077"/>
      <c r="H75" s="1077"/>
      <c r="I75" s="1077"/>
      <c r="J75" s="1077"/>
      <c r="K75" s="2246"/>
      <c r="L75" s="2246"/>
      <c r="M75" s="49"/>
    </row>
    <row r="76" spans="1:13" ht="17.25" customHeight="1" x14ac:dyDescent="0.3">
      <c r="A76" s="49"/>
      <c r="B76" s="2243" t="s">
        <v>1930</v>
      </c>
      <c r="C76" s="2244"/>
      <c r="D76" s="1084"/>
      <c r="E76" s="1084"/>
      <c r="F76" s="1084"/>
      <c r="G76" s="1077"/>
      <c r="H76" s="1077"/>
      <c r="I76" s="1077"/>
      <c r="J76" s="1077"/>
      <c r="K76" s="2246"/>
      <c r="L76" s="2246"/>
      <c r="M76" s="49"/>
    </row>
    <row r="77" spans="1:13" ht="17.25" customHeight="1" x14ac:dyDescent="0.25">
      <c r="A77" s="49"/>
      <c r="B77" s="2243" t="s">
        <v>1931</v>
      </c>
      <c r="C77" s="2244" t="s">
        <v>1932</v>
      </c>
      <c r="D77" s="1085"/>
      <c r="E77" s="1085"/>
      <c r="F77" s="1085"/>
      <c r="G77" s="1080"/>
      <c r="H77" s="1080"/>
      <c r="I77" s="1080"/>
      <c r="J77" s="1080"/>
      <c r="K77" s="2246"/>
      <c r="L77" s="2246"/>
      <c r="M77" s="49"/>
    </row>
    <row r="78" spans="1:13" ht="17.25" customHeight="1" x14ac:dyDescent="0.25">
      <c r="A78" s="49"/>
      <c r="B78" s="2243" t="s">
        <v>1933</v>
      </c>
      <c r="C78" s="2244" t="s">
        <v>1934</v>
      </c>
      <c r="D78" s="1085"/>
      <c r="E78" s="1085"/>
      <c r="F78" s="1085"/>
      <c r="G78" s="1080"/>
      <c r="H78" s="1080"/>
      <c r="I78" s="1080"/>
      <c r="J78" s="1080"/>
      <c r="K78" s="2246"/>
      <c r="L78" s="2246"/>
      <c r="M78" s="49"/>
    </row>
    <row r="79" spans="1:13" ht="17.25" customHeight="1" x14ac:dyDescent="0.25">
      <c r="A79" s="49"/>
      <c r="B79" s="2243" t="s">
        <v>1935</v>
      </c>
      <c r="C79" s="2244" t="s">
        <v>1936</v>
      </c>
      <c r="D79" s="1084"/>
      <c r="E79" s="1084"/>
      <c r="F79" s="1084"/>
      <c r="G79" s="1077"/>
      <c r="H79" s="1077"/>
      <c r="I79" s="1077"/>
      <c r="J79" s="1077"/>
      <c r="K79" s="2246"/>
      <c r="L79" s="2246"/>
      <c r="M79" s="49"/>
    </row>
    <row r="80" spans="1:13" ht="17.25" customHeight="1" x14ac:dyDescent="0.25">
      <c r="A80" s="49"/>
      <c r="B80" s="2243" t="s">
        <v>1937</v>
      </c>
      <c r="C80" s="2244" t="s">
        <v>1937</v>
      </c>
      <c r="D80" s="1081" t="str">
        <f>IFERROR(D75*(D77*D79+D78)*D74/D79,"")</f>
        <v/>
      </c>
      <c r="E80" s="1081" t="str">
        <f t="shared" ref="E80:K80" si="1">IFERROR(E75*(E77*E79+E78)*E74/E79,"")</f>
        <v/>
      </c>
      <c r="F80" s="1081" t="str">
        <f t="shared" si="1"/>
        <v/>
      </c>
      <c r="G80" s="1081" t="str">
        <f t="shared" si="1"/>
        <v/>
      </c>
      <c r="H80" s="1081" t="str">
        <f t="shared" si="1"/>
        <v/>
      </c>
      <c r="I80" s="1081" t="str">
        <f t="shared" si="1"/>
        <v/>
      </c>
      <c r="J80" s="1081" t="str">
        <f t="shared" si="1"/>
        <v/>
      </c>
      <c r="K80" s="2249" t="str">
        <f t="shared" si="1"/>
        <v/>
      </c>
      <c r="L80" s="2249"/>
      <c r="M80" s="49"/>
    </row>
    <row r="81" spans="1:13" ht="17.25" customHeight="1" x14ac:dyDescent="0.25">
      <c r="A81" s="49"/>
      <c r="B81" s="2243" t="s">
        <v>1938</v>
      </c>
      <c r="C81" s="2244" t="s">
        <v>1938</v>
      </c>
      <c r="D81" s="1082" t="str">
        <f>IFERROR(D76*(D77*D79+D78)*D74/D79,"")</f>
        <v/>
      </c>
      <c r="E81" s="1082" t="str">
        <f t="shared" ref="E81:K81" si="2">IFERROR(E76*(E77*E79+E78)*E74/E79,"")</f>
        <v/>
      </c>
      <c r="F81" s="1082" t="str">
        <f t="shared" si="2"/>
        <v/>
      </c>
      <c r="G81" s="1082" t="str">
        <f t="shared" si="2"/>
        <v/>
      </c>
      <c r="H81" s="1082" t="str">
        <f t="shared" si="2"/>
        <v/>
      </c>
      <c r="I81" s="1082" t="str">
        <f t="shared" si="2"/>
        <v/>
      </c>
      <c r="J81" s="1082" t="str">
        <f t="shared" si="2"/>
        <v/>
      </c>
      <c r="K81" s="2250" t="str">
        <f t="shared" si="2"/>
        <v/>
      </c>
      <c r="L81" s="2250"/>
      <c r="M81" s="49"/>
    </row>
    <row r="82" spans="1:13" ht="17.25" customHeight="1" x14ac:dyDescent="0.25">
      <c r="A82" s="49"/>
      <c r="B82" s="2252" t="s">
        <v>1939</v>
      </c>
      <c r="C82" s="2253"/>
      <c r="D82" s="1083" t="str">
        <f t="shared" ref="D82:E82" si="3">IF(OR(D80="",D81=""),"",D81+D80*10^5)</f>
        <v/>
      </c>
      <c r="E82" s="1083" t="str">
        <f t="shared" si="3"/>
        <v/>
      </c>
      <c r="F82" s="1083" t="str">
        <f>IF(OR(F80="",F81=""),"",F81+F80*10^5)</f>
        <v/>
      </c>
      <c r="G82" s="1083" t="str">
        <f t="shared" ref="G82:K82" si="4">IF(OR(G80="",G81=""),"",G81+G80*10^5)</f>
        <v/>
      </c>
      <c r="H82" s="1083" t="str">
        <f t="shared" si="4"/>
        <v/>
      </c>
      <c r="I82" s="1083" t="str">
        <f t="shared" si="4"/>
        <v/>
      </c>
      <c r="J82" s="1083" t="str">
        <f t="shared" si="4"/>
        <v/>
      </c>
      <c r="K82" s="2251" t="str">
        <f t="shared" si="4"/>
        <v/>
      </c>
      <c r="L82" s="2251"/>
      <c r="M82" s="49"/>
    </row>
    <row r="83" spans="1:13" ht="17.25" customHeight="1" x14ac:dyDescent="0.25">
      <c r="A83" s="49"/>
      <c r="B83" s="49"/>
      <c r="C83" s="49"/>
      <c r="D83" s="49"/>
      <c r="E83" s="49"/>
      <c r="F83" s="49"/>
      <c r="G83" s="49"/>
      <c r="H83" s="49"/>
      <c r="I83" s="49"/>
      <c r="J83" s="49"/>
      <c r="K83" s="49"/>
      <c r="L83" s="49"/>
      <c r="M83" s="49"/>
    </row>
    <row r="84" spans="1:13" ht="20.25" customHeight="1" x14ac:dyDescent="0.25">
      <c r="A84" s="49"/>
      <c r="B84" s="2254" t="s">
        <v>1940</v>
      </c>
      <c r="C84" s="2254"/>
      <c r="D84" s="2254"/>
      <c r="E84" s="1076" t="str">
        <f>IFERROR(SUMPRODUCT(D82:$K82,D72:$K72,D70:$K70)/SUMPRODUCT(D72:$K72,D70:$K70),"")</f>
        <v/>
      </c>
      <c r="F84" s="49"/>
      <c r="G84" s="49"/>
      <c r="H84" s="49"/>
      <c r="I84" s="49"/>
      <c r="J84" s="49"/>
      <c r="K84" s="49"/>
      <c r="L84" s="49"/>
      <c r="M84" s="49"/>
    </row>
    <row r="85" spans="1:13" ht="18.75" customHeight="1" x14ac:dyDescent="0.25">
      <c r="A85" s="49"/>
      <c r="B85" s="642"/>
      <c r="C85" s="49"/>
      <c r="D85" s="49"/>
      <c r="E85" s="49"/>
      <c r="F85" s="49"/>
      <c r="G85" s="49"/>
      <c r="H85" s="49"/>
      <c r="I85" s="49"/>
      <c r="J85" s="49"/>
      <c r="K85" s="49"/>
      <c r="L85" s="49"/>
      <c r="M85" s="49"/>
    </row>
    <row r="86" spans="1:13" ht="18" customHeight="1" x14ac:dyDescent="0.25">
      <c r="A86" s="2166" t="s">
        <v>186</v>
      </c>
      <c r="B86" s="2166"/>
      <c r="C86" s="2166"/>
      <c r="D86" s="50"/>
      <c r="E86" s="50"/>
      <c r="F86" s="50"/>
      <c r="G86" s="50"/>
      <c r="H86" s="50"/>
      <c r="I86" s="50"/>
      <c r="J86" s="50"/>
      <c r="K86" s="50"/>
      <c r="L86" s="49"/>
      <c r="M86" s="49"/>
    </row>
    <row r="87" spans="1:13" x14ac:dyDescent="0.25">
      <c r="A87" s="49"/>
      <c r="B87" s="1129"/>
      <c r="C87" s="1129"/>
      <c r="D87" s="1129"/>
      <c r="E87" s="1129"/>
      <c r="F87" s="1129"/>
      <c r="G87" s="1129"/>
      <c r="H87" s="49"/>
      <c r="I87" s="78"/>
      <c r="J87" s="78"/>
      <c r="K87" s="78"/>
      <c r="L87" s="49"/>
      <c r="M87" s="49"/>
    </row>
    <row r="88" spans="1:13" ht="18" customHeight="1" x14ac:dyDescent="0.25">
      <c r="A88" s="49"/>
      <c r="B88" s="2183" t="s">
        <v>1739</v>
      </c>
      <c r="C88" s="2184"/>
      <c r="D88" s="2184"/>
      <c r="E88" s="2184"/>
      <c r="F88" s="2184"/>
      <c r="G88" s="2184"/>
      <c r="H88" s="1100" t="s">
        <v>1737</v>
      </c>
      <c r="I88" s="2185" t="s">
        <v>1738</v>
      </c>
      <c r="J88" s="2186"/>
      <c r="K88" s="49"/>
      <c r="L88" s="49"/>
      <c r="M88" s="49"/>
    </row>
    <row r="89" spans="1:13" ht="24" customHeight="1" x14ac:dyDescent="0.25">
      <c r="A89" s="49"/>
      <c r="B89" s="1843" t="s">
        <v>1942</v>
      </c>
      <c r="C89" s="1843"/>
      <c r="D89" s="1843"/>
      <c r="E89" s="1843"/>
      <c r="F89" s="1843"/>
      <c r="G89" s="1843"/>
      <c r="H89" s="945" t="s">
        <v>124</v>
      </c>
      <c r="I89" s="1931"/>
      <c r="J89" s="1932"/>
      <c r="K89" s="49"/>
      <c r="L89" s="49"/>
      <c r="M89" s="49"/>
    </row>
    <row r="90" spans="1:13" ht="24" customHeight="1" x14ac:dyDescent="0.25">
      <c r="A90" s="49"/>
      <c r="B90" s="1843" t="s">
        <v>1941</v>
      </c>
      <c r="C90" s="1843"/>
      <c r="D90" s="1843"/>
      <c r="E90" s="1843"/>
      <c r="F90" s="1843"/>
      <c r="G90" s="1843"/>
      <c r="H90" s="945" t="s">
        <v>124</v>
      </c>
      <c r="I90" s="1931"/>
      <c r="J90" s="1932"/>
      <c r="K90" s="49"/>
      <c r="L90" s="49"/>
      <c r="M90" s="49"/>
    </row>
    <row r="91" spans="1:13" ht="18.75" customHeight="1" x14ac:dyDescent="0.25">
      <c r="A91" s="49"/>
      <c r="B91" s="50"/>
      <c r="C91" s="50"/>
      <c r="D91" s="50"/>
      <c r="E91" s="50"/>
      <c r="F91" s="49"/>
      <c r="G91" s="49"/>
      <c r="H91" s="49"/>
      <c r="I91" s="78"/>
      <c r="J91" s="78"/>
      <c r="K91" s="78"/>
      <c r="L91" s="49"/>
      <c r="M91" s="49"/>
    </row>
    <row r="92" spans="1:13" ht="18" customHeight="1" x14ac:dyDescent="0.25">
      <c r="A92" s="2166" t="s">
        <v>22</v>
      </c>
      <c r="B92" s="2166"/>
      <c r="C92" s="2166"/>
      <c r="D92" s="50"/>
      <c r="E92" s="50"/>
      <c r="F92" s="50"/>
      <c r="G92" s="50"/>
      <c r="H92" s="50"/>
      <c r="I92" s="50"/>
      <c r="J92" s="50"/>
      <c r="K92" s="50"/>
      <c r="L92" s="49"/>
      <c r="M92" s="49"/>
    </row>
    <row r="93" spans="1:13" x14ac:dyDescent="0.25">
      <c r="A93" s="49"/>
      <c r="B93" s="50"/>
      <c r="C93" s="50"/>
      <c r="D93" s="50"/>
      <c r="E93" s="50"/>
      <c r="F93" s="49"/>
      <c r="G93" s="49"/>
      <c r="H93" s="49"/>
      <c r="I93" s="49"/>
      <c r="J93" s="49"/>
      <c r="K93" s="49"/>
      <c r="L93" s="49"/>
      <c r="M93" s="49"/>
    </row>
    <row r="94" spans="1:13" ht="18" customHeight="1" x14ac:dyDescent="0.25">
      <c r="A94" s="49"/>
      <c r="B94" s="236" t="s">
        <v>53</v>
      </c>
      <c r="C94" s="986">
        <f>IF(E84&lt;=11,1,0)</f>
        <v>0</v>
      </c>
      <c r="D94" s="50"/>
      <c r="E94" s="49"/>
      <c r="F94" s="49"/>
      <c r="G94" s="49"/>
      <c r="H94" s="49"/>
      <c r="I94" s="49"/>
      <c r="J94" s="49"/>
      <c r="K94" s="49"/>
      <c r="L94" s="49"/>
      <c r="M94" s="49"/>
    </row>
    <row r="95" spans="1:13" ht="18" customHeight="1" x14ac:dyDescent="0.25">
      <c r="A95" s="49"/>
      <c r="B95" s="236" t="s">
        <v>492</v>
      </c>
      <c r="C95" s="181" t="str">
        <f>IF(AND(COUNTIF(H89:H90,"Submitted")=2,C94&gt;0),"Yes","No")</f>
        <v>No</v>
      </c>
      <c r="D95" s="50"/>
      <c r="E95" s="49"/>
      <c r="F95" s="49"/>
      <c r="G95" s="49"/>
      <c r="H95" s="49"/>
      <c r="I95" s="49"/>
      <c r="J95" s="49"/>
      <c r="K95" s="49"/>
      <c r="L95" s="49"/>
      <c r="M95" s="49"/>
    </row>
    <row r="96" spans="1:13" ht="18" customHeight="1" x14ac:dyDescent="0.25">
      <c r="A96" s="49"/>
      <c r="B96" s="50"/>
      <c r="C96" s="50"/>
      <c r="D96" s="50"/>
      <c r="E96" s="50"/>
      <c r="F96" s="49"/>
      <c r="G96" s="49"/>
      <c r="H96" s="49"/>
      <c r="I96" s="49"/>
      <c r="J96" s="49"/>
      <c r="K96" s="49"/>
      <c r="L96" s="49"/>
      <c r="M96" s="49"/>
    </row>
    <row r="97" hidden="1" x14ac:dyDescent="0.25"/>
  </sheetData>
  <sheetProtection algorithmName="SHA-512" hashValue="VHAJv4BCzRJPMmX074BR0aMUU/mg96JVnWLPGm1CpqMJ2XPJOx/gfWjmznESgx9b2yqwFPxJz7N/Fjn7PWEb8Q==" saltValue="Eh2YspQzwmlw5BWKuxmXUg==" spinCount="100000" sheet="1" objects="1" scenarios="1"/>
  <mergeCells count="69">
    <mergeCell ref="I90:J90"/>
    <mergeCell ref="B89:G89"/>
    <mergeCell ref="B90:G90"/>
    <mergeCell ref="K78:L78"/>
    <mergeCell ref="K79:L79"/>
    <mergeCell ref="K80:L80"/>
    <mergeCell ref="K81:L81"/>
    <mergeCell ref="K82:L82"/>
    <mergeCell ref="B79:C79"/>
    <mergeCell ref="B80:C80"/>
    <mergeCell ref="B81:C81"/>
    <mergeCell ref="B82:C82"/>
    <mergeCell ref="B84:D84"/>
    <mergeCell ref="B88:G88"/>
    <mergeCell ref="I88:J88"/>
    <mergeCell ref="I89:J89"/>
    <mergeCell ref="B30:E30"/>
    <mergeCell ref="K68:L68"/>
    <mergeCell ref="K69:L69"/>
    <mergeCell ref="K70:L70"/>
    <mergeCell ref="K71:L71"/>
    <mergeCell ref="B37:F37"/>
    <mergeCell ref="H37:I37"/>
    <mergeCell ref="H38:I38"/>
    <mergeCell ref="H39:I39"/>
    <mergeCell ref="B31:E31"/>
    <mergeCell ref="B38:F38"/>
    <mergeCell ref="B33:C33"/>
    <mergeCell ref="A35:C35"/>
    <mergeCell ref="B75:C75"/>
    <mergeCell ref="B76:C76"/>
    <mergeCell ref="B77:C77"/>
    <mergeCell ref="B78:C78"/>
    <mergeCell ref="A46:M46"/>
    <mergeCell ref="K72:L72"/>
    <mergeCell ref="K73:L73"/>
    <mergeCell ref="K74:L74"/>
    <mergeCell ref="K75:L75"/>
    <mergeCell ref="K76:L76"/>
    <mergeCell ref="K77:L77"/>
    <mergeCell ref="A1:M1"/>
    <mergeCell ref="B29:F29"/>
    <mergeCell ref="A5:K7"/>
    <mergeCell ref="B11:C11"/>
    <mergeCell ref="D11:E11"/>
    <mergeCell ref="A21:C21"/>
    <mergeCell ref="G2:J4"/>
    <mergeCell ref="A9:M9"/>
    <mergeCell ref="B13:F13"/>
    <mergeCell ref="B14:F14"/>
    <mergeCell ref="B16:F16"/>
    <mergeCell ref="B17:F17"/>
    <mergeCell ref="A19:M19"/>
    <mergeCell ref="A92:C92"/>
    <mergeCell ref="A86:C86"/>
    <mergeCell ref="A41:C41"/>
    <mergeCell ref="A48:C48"/>
    <mergeCell ref="B39:F39"/>
    <mergeCell ref="B52:J52"/>
    <mergeCell ref="B53:J53"/>
    <mergeCell ref="B54:J54"/>
    <mergeCell ref="B55:J55"/>
    <mergeCell ref="A57:C57"/>
    <mergeCell ref="B69:C69"/>
    <mergeCell ref="B70:C70"/>
    <mergeCell ref="B71:C71"/>
    <mergeCell ref="B72:C72"/>
    <mergeCell ref="B73:C73"/>
    <mergeCell ref="B74:C74"/>
  </mergeCells>
  <conditionalFormatting sqref="G38">
    <cfRule type="expression" dxfId="55" priority="8">
      <formula>#REF!&lt;&gt;"Prescriptive Path"</formula>
    </cfRule>
  </conditionalFormatting>
  <conditionalFormatting sqref="G39">
    <cfRule type="expression" dxfId="54" priority="7">
      <formula>#REF!&lt;&gt;"Prescriptive Path"</formula>
    </cfRule>
  </conditionalFormatting>
  <conditionalFormatting sqref="H89">
    <cfRule type="expression" dxfId="53" priority="6">
      <formula>#REF!&lt;&gt;"Prescriptive Path"</formula>
    </cfRule>
  </conditionalFormatting>
  <conditionalFormatting sqref="H90">
    <cfRule type="expression" dxfId="52" priority="5">
      <formula>#REF!&lt;&gt;"Prescriptive Path"</formula>
    </cfRule>
  </conditionalFormatting>
  <conditionalFormatting sqref="I88:J88">
    <cfRule type="expression" dxfId="51" priority="4">
      <formula>#REF!&lt;&gt;"Prescriptive Path"</formula>
    </cfRule>
  </conditionalFormatting>
  <conditionalFormatting sqref="H37:I37">
    <cfRule type="expression" dxfId="50" priority="3">
      <formula>#REF!&lt;&gt;"Prescriptive Path"</formula>
    </cfRule>
  </conditionalFormatting>
  <conditionalFormatting sqref="H38:H39">
    <cfRule type="expression" dxfId="49" priority="2">
      <formula>#REF!&lt;&gt;"Prescriptive Path"</formula>
    </cfRule>
  </conditionalFormatting>
  <conditionalFormatting sqref="I89:I90">
    <cfRule type="expression" dxfId="48" priority="1">
      <formula>#REF!&lt;&gt;"Prescriptive Path"</formula>
    </cfRule>
  </conditionalFormatting>
  <dataValidations count="3">
    <dataValidation type="list" allowBlank="1" showInputMessage="1" showErrorMessage="1" sqref="G38:G39 H89:H90" xr:uid="{00000000-0002-0000-2F00-000000000000}">
      <formula1>"Submitted,Not submitted"</formula1>
    </dataValidation>
    <dataValidation type="list" allowBlank="1" showInputMessage="1" showErrorMessage="1" sqref="D11" xr:uid="{00000000-0002-0000-2F00-000001000000}">
      <formula1>"Select,Prescriptive Path, Performance Path"</formula1>
    </dataValidation>
    <dataValidation type="list" allowBlank="1" showInputMessage="1" showErrorMessage="1" sqref="F30:F31" xr:uid="{00000000-0002-0000-2F00-000002000000}">
      <formula1>"Select,Yes,No"</formula1>
    </dataValidation>
  </dataValidations>
  <hyperlinks>
    <hyperlink ref="K3" location="'LE-2 Site design'!B3" tooltip="LE-2" display="LE-2" xr:uid="{00000000-0004-0000-2F00-000000000000}"/>
    <hyperlink ref="K4" location="'LE-3 Vegetation'!D3" tooltip="LE-3" display="LE-3" xr:uid="{00000000-0004-0000-2F00-000001000000}"/>
    <hyperlink ref="L2" location="'LE-4 Heat Island Effect'!D3" tooltip="LE-4" display="LE-4" xr:uid="{00000000-0004-0000-2F00-000002000000}"/>
    <hyperlink ref="L4" location="'LE-6 Flood Risk Mitigation'!E3" tooltip="LE-6" display="LE-6" xr:uid="{00000000-0004-0000-2F00-000003000000}"/>
    <hyperlink ref="K2" location="'LE-1 Site Selection'!B3" tooltip="LE-1" display="LE-1" xr:uid="{00000000-0004-0000-2F00-000004000000}"/>
    <hyperlink ref="M3" location="'LE-8 Recycling Storage Area'!B3" tooltip="LE-8" display="LE-8" xr:uid="{00000000-0004-0000-2F00-000005000000}"/>
    <hyperlink ref="L3" location="'LE-5 Storm Water Runoff'!B3" tooltip="LE-5" display="LE-5" xr:uid="{00000000-0004-0000-2F00-000006000000}"/>
  </hyperlinks>
  <pageMargins left="0.7" right="0.7" top="0.75" bottom="0.75" header="0.3" footer="0.3"/>
  <pageSetup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9">
    <tabColor rgb="FF76923C"/>
  </sheetPr>
  <dimension ref="A1:Q54"/>
  <sheetViews>
    <sheetView showRowColHeaders="0" workbookViewId="0">
      <pane ySplit="8" topLeftCell="A9" activePane="bottomLeft" state="frozen"/>
      <selection activeCell="M21" sqref="M21"/>
      <selection pane="bottomLeft" activeCell="A9" sqref="A9:K9"/>
    </sheetView>
  </sheetViews>
  <sheetFormatPr defaultColWidth="0" defaultRowHeight="15" customHeight="1" zeroHeight="1" x14ac:dyDescent="0.25"/>
  <cols>
    <col min="1" max="1" width="4.7109375" style="38" customWidth="1"/>
    <col min="2" max="5" width="18.42578125" style="38" customWidth="1"/>
    <col min="6" max="8" width="18.7109375" style="38" customWidth="1"/>
    <col min="9" max="11" width="8.7109375" style="38" customWidth="1"/>
    <col min="12" max="16384" width="9.140625" style="38" hidden="1"/>
  </cols>
  <sheetData>
    <row r="1" spans="1:11" ht="23.25" x14ac:dyDescent="0.25">
      <c r="A1" s="1348" t="s">
        <v>2059</v>
      </c>
      <c r="B1" s="1348"/>
      <c r="C1" s="1348"/>
      <c r="D1" s="1348"/>
      <c r="E1" s="1348"/>
      <c r="F1" s="1348"/>
      <c r="G1" s="1348"/>
      <c r="H1" s="1348"/>
      <c r="I1" s="1348"/>
      <c r="J1" s="1348"/>
      <c r="K1" s="1348"/>
    </row>
    <row r="2" spans="1:11" ht="15" customHeight="1" x14ac:dyDescent="0.25">
      <c r="A2" s="49"/>
      <c r="B2" s="50"/>
      <c r="C2" s="50"/>
      <c r="D2" s="50"/>
      <c r="E2" s="50"/>
      <c r="F2" s="49"/>
      <c r="G2" s="1585" t="s">
        <v>1761</v>
      </c>
      <c r="H2" s="1585"/>
      <c r="I2" s="230" t="s">
        <v>57</v>
      </c>
      <c r="J2" s="230" t="s">
        <v>69</v>
      </c>
      <c r="K2" s="230"/>
    </row>
    <row r="3" spans="1:11" ht="15" customHeight="1" x14ac:dyDescent="0.25">
      <c r="A3" s="49"/>
      <c r="B3" s="50"/>
      <c r="C3" s="50"/>
      <c r="D3" s="50"/>
      <c r="E3" s="50"/>
      <c r="F3" s="49"/>
      <c r="G3" s="1585"/>
      <c r="H3" s="1585"/>
      <c r="I3" s="230" t="s">
        <v>61</v>
      </c>
      <c r="J3" s="230" t="s">
        <v>73</v>
      </c>
      <c r="K3" s="230" t="s">
        <v>126</v>
      </c>
    </row>
    <row r="4" spans="1:11" ht="15" customHeight="1" x14ac:dyDescent="0.25">
      <c r="A4" s="49"/>
      <c r="B4" s="50"/>
      <c r="C4" s="50"/>
      <c r="D4" s="50"/>
      <c r="E4" s="50"/>
      <c r="F4" s="49"/>
      <c r="G4" s="1822"/>
      <c r="H4" s="1822"/>
      <c r="I4" s="230" t="s">
        <v>65</v>
      </c>
      <c r="J4" s="230" t="s">
        <v>77</v>
      </c>
      <c r="K4" s="213"/>
    </row>
    <row r="5" spans="1:11" ht="16.5" customHeight="1" x14ac:dyDescent="0.25">
      <c r="A5" s="1600" t="s">
        <v>2661</v>
      </c>
      <c r="B5" s="1601"/>
      <c r="C5" s="1601"/>
      <c r="D5" s="1601"/>
      <c r="E5" s="1601"/>
      <c r="F5" s="1601"/>
      <c r="G5" s="1601"/>
      <c r="H5" s="1601"/>
      <c r="I5" s="1601"/>
      <c r="J5" s="1601"/>
      <c r="K5" s="1601"/>
    </row>
    <row r="6" spans="1:11" ht="16.5" customHeight="1" x14ac:dyDescent="0.25">
      <c r="A6" s="1603"/>
      <c r="B6" s="1604"/>
      <c r="C6" s="1604"/>
      <c r="D6" s="1604"/>
      <c r="E6" s="1604"/>
      <c r="F6" s="1604"/>
      <c r="G6" s="1604"/>
      <c r="H6" s="1604"/>
      <c r="I6" s="1604"/>
      <c r="J6" s="1604"/>
      <c r="K6" s="1604"/>
    </row>
    <row r="7" spans="1:11" ht="16.5" customHeight="1" x14ac:dyDescent="0.25">
      <c r="A7" s="1606"/>
      <c r="B7" s="1607"/>
      <c r="C7" s="1607"/>
      <c r="D7" s="1607"/>
      <c r="E7" s="1607"/>
      <c r="F7" s="1607"/>
      <c r="G7" s="1607"/>
      <c r="H7" s="1607"/>
      <c r="I7" s="1607"/>
      <c r="J7" s="1607"/>
      <c r="K7" s="1607"/>
    </row>
    <row r="8" spans="1:11" ht="12" customHeight="1" x14ac:dyDescent="0.25">
      <c r="A8" s="49"/>
      <c r="B8" s="50"/>
      <c r="C8" s="50"/>
      <c r="D8" s="50"/>
      <c r="E8" s="50"/>
      <c r="F8" s="49"/>
      <c r="G8" s="49"/>
      <c r="H8" s="49"/>
      <c r="I8" s="49"/>
      <c r="J8" s="49"/>
      <c r="K8" s="49"/>
    </row>
    <row r="9" spans="1:11" ht="18" customHeight="1" x14ac:dyDescent="0.25">
      <c r="A9" s="2180" t="s">
        <v>177</v>
      </c>
      <c r="B9" s="2180"/>
      <c r="C9" s="2180"/>
      <c r="D9" s="2180"/>
      <c r="E9" s="2180"/>
      <c r="F9" s="2180"/>
      <c r="G9" s="2180"/>
      <c r="H9" s="2180"/>
      <c r="I9" s="2180"/>
      <c r="J9" s="2180"/>
      <c r="K9" s="2180"/>
    </row>
    <row r="10" spans="1:11" ht="16.5" customHeight="1" x14ac:dyDescent="0.25">
      <c r="A10" s="49"/>
      <c r="B10" s="50"/>
      <c r="C10" s="50"/>
      <c r="D10" s="50"/>
      <c r="E10" s="50"/>
      <c r="F10" s="49"/>
      <c r="G10" s="49"/>
      <c r="H10" s="49"/>
      <c r="I10" s="49"/>
      <c r="J10" s="49"/>
      <c r="K10" s="49"/>
    </row>
    <row r="11" spans="1:11" ht="19.5" customHeight="1" x14ac:dyDescent="0.25">
      <c r="A11" s="49"/>
      <c r="B11" s="2181" t="s">
        <v>178</v>
      </c>
      <c r="C11" s="2182"/>
      <c r="D11" s="2182"/>
      <c r="E11" s="2182"/>
      <c r="F11" s="640" t="s">
        <v>152</v>
      </c>
      <c r="G11" s="640" t="s">
        <v>53</v>
      </c>
      <c r="H11" s="56" t="s">
        <v>492</v>
      </c>
      <c r="I11" s="49"/>
      <c r="J11" s="49"/>
      <c r="K11" s="49"/>
    </row>
    <row r="12" spans="1:11" ht="21" customHeight="1" x14ac:dyDescent="0.25">
      <c r="A12" s="49"/>
      <c r="B12" s="1611" t="s">
        <v>2058</v>
      </c>
      <c r="C12" s="1612"/>
      <c r="D12" s="1612"/>
      <c r="E12" s="2021"/>
      <c r="F12" s="55">
        <v>1</v>
      </c>
      <c r="G12" s="55">
        <f>C43</f>
        <v>0</v>
      </c>
      <c r="H12" s="55" t="str">
        <f>C44</f>
        <v>No</v>
      </c>
      <c r="I12" s="81"/>
      <c r="J12" s="81"/>
      <c r="K12" s="49"/>
    </row>
    <row r="13" spans="1:11" ht="16.5" customHeight="1" x14ac:dyDescent="0.25">
      <c r="A13" s="49"/>
      <c r="B13" s="50"/>
      <c r="C13" s="50"/>
      <c r="D13" s="50"/>
      <c r="E13" s="50"/>
      <c r="F13" s="49"/>
      <c r="G13" s="49"/>
      <c r="H13" s="49"/>
      <c r="I13" s="49"/>
      <c r="J13" s="49"/>
      <c r="K13" s="49"/>
    </row>
    <row r="14" spans="1:11" ht="18" customHeight="1" x14ac:dyDescent="0.25">
      <c r="A14" s="2180" t="s">
        <v>245</v>
      </c>
      <c r="B14" s="2180"/>
      <c r="C14" s="2180"/>
      <c r="D14" s="2180"/>
      <c r="E14" s="2180"/>
      <c r="F14" s="2180"/>
      <c r="G14" s="2180"/>
      <c r="H14" s="2180"/>
      <c r="I14" s="2180"/>
      <c r="J14" s="2180"/>
      <c r="K14" s="2180"/>
    </row>
    <row r="15" spans="1:11" x14ac:dyDescent="0.25">
      <c r="A15" s="49"/>
      <c r="B15" s="50"/>
      <c r="C15" s="50"/>
      <c r="D15" s="50"/>
      <c r="E15" s="50"/>
      <c r="F15" s="50"/>
      <c r="G15" s="49"/>
      <c r="H15" s="49"/>
      <c r="I15" s="49"/>
      <c r="J15" s="49"/>
      <c r="K15" s="49"/>
    </row>
    <row r="16" spans="1:11" ht="18" customHeight="1" x14ac:dyDescent="0.25">
      <c r="A16" s="49"/>
      <c r="B16" s="1579" t="s">
        <v>2108</v>
      </c>
      <c r="C16" s="1580"/>
      <c r="D16" s="1580"/>
      <c r="E16" s="1580"/>
      <c r="F16" s="1580"/>
      <c r="G16" s="1580"/>
      <c r="H16" s="1580"/>
      <c r="I16" s="1581"/>
      <c r="J16" s="49"/>
      <c r="K16" s="49"/>
    </row>
    <row r="17" spans="1:17" ht="15" customHeight="1" x14ac:dyDescent="0.25">
      <c r="A17" s="49"/>
      <c r="B17" s="1654" t="s">
        <v>2383</v>
      </c>
      <c r="C17" s="1655"/>
      <c r="D17" s="1655"/>
      <c r="E17" s="1655"/>
      <c r="F17" s="1655"/>
      <c r="G17" s="1655"/>
      <c r="H17" s="1655"/>
      <c r="I17" s="1656"/>
      <c r="J17" s="49"/>
      <c r="K17" s="49"/>
    </row>
    <row r="18" spans="1:17" ht="15" customHeight="1" x14ac:dyDescent="0.25">
      <c r="A18" s="49"/>
      <c r="B18" s="1657"/>
      <c r="C18" s="1658"/>
      <c r="D18" s="1658"/>
      <c r="E18" s="1658"/>
      <c r="F18" s="1658"/>
      <c r="G18" s="1658"/>
      <c r="H18" s="1658"/>
      <c r="I18" s="1659"/>
      <c r="J18" s="49"/>
      <c r="K18" s="49"/>
    </row>
    <row r="19" spans="1:17" ht="9.75" customHeight="1" x14ac:dyDescent="0.25">
      <c r="A19" s="49"/>
      <c r="B19" s="50"/>
      <c r="C19" s="50"/>
      <c r="D19" s="50"/>
      <c r="E19" s="50"/>
      <c r="F19" s="50"/>
      <c r="G19" s="50"/>
      <c r="H19" s="49"/>
      <c r="I19" s="49"/>
      <c r="J19" s="49"/>
      <c r="K19" s="49"/>
    </row>
    <row r="20" spans="1:17" ht="12.75" customHeight="1" thickBot="1" x14ac:dyDescent="0.3">
      <c r="A20" s="49"/>
      <c r="B20" s="50"/>
      <c r="C20" s="50"/>
      <c r="D20" s="50"/>
      <c r="E20" s="50"/>
      <c r="F20" s="50"/>
      <c r="G20" s="49"/>
      <c r="H20" s="49"/>
      <c r="I20" s="49"/>
      <c r="J20" s="49"/>
      <c r="K20" s="49"/>
      <c r="O20" s="1133" t="s">
        <v>2112</v>
      </c>
      <c r="P20" s="1134" t="s">
        <v>2113</v>
      </c>
    </row>
    <row r="21" spans="1:17" ht="15.75" thickBot="1" x14ac:dyDescent="0.3">
      <c r="A21" s="49"/>
      <c r="B21" s="1597" t="s">
        <v>1107</v>
      </c>
      <c r="C21" s="1597"/>
      <c r="D21" s="1597"/>
      <c r="E21" s="1597"/>
      <c r="F21" s="1597"/>
      <c r="G21" s="49"/>
      <c r="H21" s="49"/>
      <c r="I21" s="49"/>
      <c r="J21" s="49"/>
      <c r="K21" s="49"/>
      <c r="O21" s="1135">
        <v>500</v>
      </c>
      <c r="P21" s="1136">
        <v>1.4999999999999999E-2</v>
      </c>
      <c r="Q21" s="38">
        <v>7.5</v>
      </c>
    </row>
    <row r="22" spans="1:17" ht="9" customHeight="1" thickBot="1" x14ac:dyDescent="0.3">
      <c r="A22" s="49"/>
      <c r="B22" s="606"/>
      <c r="C22" s="606"/>
      <c r="D22" s="606"/>
      <c r="E22" s="606"/>
      <c r="F22" s="606"/>
      <c r="G22" s="49"/>
      <c r="H22" s="49"/>
      <c r="I22" s="49"/>
      <c r="J22" s="49"/>
      <c r="K22" s="49"/>
      <c r="O22" s="1137">
        <v>1000</v>
      </c>
      <c r="P22" s="1136">
        <v>8.0000000000000002E-3</v>
      </c>
      <c r="Q22" s="38">
        <v>8</v>
      </c>
    </row>
    <row r="23" spans="1:17" ht="19.5" customHeight="1" thickBot="1" x14ac:dyDescent="0.3">
      <c r="A23" s="49"/>
      <c r="B23" s="2255" t="str">
        <f>IF('Project information'!C7="Certification stage","• Does a recycling storage area allocate a space for paper?","• Will a recycling storage area allocate a space for paper?")</f>
        <v>• Will a recycling storage area allocate a space for paper?</v>
      </c>
      <c r="C23" s="2255"/>
      <c r="D23" s="2255"/>
      <c r="E23" s="2255"/>
      <c r="F23" s="1101" t="s">
        <v>124</v>
      </c>
      <c r="G23" s="49"/>
      <c r="H23" s="49"/>
      <c r="I23" s="49"/>
      <c r="J23" s="49"/>
      <c r="K23" s="49"/>
      <c r="L23" s="80"/>
      <c r="M23" s="80"/>
      <c r="O23" s="1137">
        <v>2500</v>
      </c>
      <c r="P23" s="1136">
        <v>3.5000000000000001E-3</v>
      </c>
      <c r="Q23" s="38">
        <f>50*0.35</f>
        <v>17.5</v>
      </c>
    </row>
    <row r="24" spans="1:17" ht="19.5" customHeight="1" x14ac:dyDescent="0.25">
      <c r="A24" s="49"/>
      <c r="B24" s="2255" t="str">
        <f>IF('Project information'!C7="Certification stage","• Does a recycling storage area allocate a space for corrugated cardboard?","• Will a recycling storage area allocate a space for corrugated cardboard?")</f>
        <v>• Will a recycling storage area allocate a space for corrugated cardboard?</v>
      </c>
      <c r="C24" s="2255"/>
      <c r="D24" s="2255"/>
      <c r="E24" s="2255"/>
      <c r="F24" s="1235" t="s">
        <v>124</v>
      </c>
      <c r="G24" s="49"/>
      <c r="H24" s="49"/>
      <c r="I24" s="49"/>
      <c r="J24" s="49"/>
      <c r="K24" s="49"/>
      <c r="L24" s="80"/>
      <c r="M24" s="80"/>
    </row>
    <row r="25" spans="1:17" ht="19.5" customHeight="1" x14ac:dyDescent="0.25">
      <c r="A25" s="49"/>
      <c r="B25" s="2255" t="str">
        <f>IF('Project information'!C7="Certification stage","• Does a recycling storage area allocate a storage space for plastics?","• Will a recycling storage area allocate a storage space for plastics?")</f>
        <v>• Will a recycling storage area allocate a storage space for plastics?</v>
      </c>
      <c r="C25" s="2255"/>
      <c r="D25" s="2255"/>
      <c r="E25" s="2255"/>
      <c r="F25" s="1235" t="s">
        <v>124</v>
      </c>
      <c r="G25" s="49"/>
      <c r="H25" s="49"/>
      <c r="I25" s="49"/>
      <c r="J25" s="49"/>
      <c r="K25" s="49"/>
      <c r="L25" s="80"/>
      <c r="M25" s="80"/>
    </row>
    <row r="26" spans="1:17" ht="19.5" customHeight="1" x14ac:dyDescent="0.25">
      <c r="A26" s="49"/>
      <c r="B26" s="2255" t="str">
        <f>IF('Project information'!C7="Certification stage","• Does a recycling storage area allocate a storage space for metals?","• Will a recycling storage area allocate a space for metals?")</f>
        <v>• Will a recycling storage area allocate a space for metals?</v>
      </c>
      <c r="C26" s="2255"/>
      <c r="D26" s="2255"/>
      <c r="E26" s="2255"/>
      <c r="F26" s="1235" t="s">
        <v>124</v>
      </c>
      <c r="G26" s="49"/>
      <c r="H26" s="49"/>
      <c r="I26" s="49"/>
      <c r="J26" s="49"/>
      <c r="K26" s="49"/>
      <c r="L26" s="80"/>
      <c r="M26" s="80"/>
    </row>
    <row r="27" spans="1:17" ht="19.5" customHeight="1" x14ac:dyDescent="0.25">
      <c r="A27" s="49"/>
      <c r="B27" s="2255" t="str">
        <f>IF('Project information'!C7="Certification stage","• Does a recycling storage area allocate a space for glass?","• Will a recycling storage area allocate a space for glass?")</f>
        <v>• Will a recycling storage area allocate a space for glass?</v>
      </c>
      <c r="C27" s="2255"/>
      <c r="D27" s="2255"/>
      <c r="E27" s="2255"/>
      <c r="F27" s="1235" t="s">
        <v>124</v>
      </c>
      <c r="G27" s="49"/>
      <c r="H27" s="49"/>
      <c r="I27" s="49"/>
      <c r="J27" s="49"/>
      <c r="K27" s="49"/>
      <c r="L27" s="80"/>
      <c r="M27" s="80"/>
    </row>
    <row r="28" spans="1:17" ht="19.5" customHeight="1" x14ac:dyDescent="0.25">
      <c r="A28" s="49"/>
      <c r="B28" s="49"/>
      <c r="C28" s="49"/>
      <c r="D28" s="49"/>
      <c r="E28" s="49"/>
      <c r="F28" s="49"/>
      <c r="G28" s="49"/>
      <c r="H28" s="49"/>
      <c r="I28" s="49"/>
      <c r="J28" s="49"/>
      <c r="K28" s="49"/>
      <c r="L28" s="80"/>
      <c r="M28" s="80"/>
    </row>
    <row r="29" spans="1:17" ht="19.5" customHeight="1" x14ac:dyDescent="0.25">
      <c r="A29" s="49"/>
      <c r="B29" s="2258" t="s">
        <v>2109</v>
      </c>
      <c r="C29" s="2258"/>
      <c r="D29" s="1240"/>
      <c r="E29" s="49"/>
      <c r="F29" s="49"/>
      <c r="G29" s="49"/>
      <c r="H29" s="49"/>
      <c r="I29" s="49"/>
      <c r="J29" s="49"/>
      <c r="K29" s="49"/>
      <c r="L29" s="80"/>
      <c r="M29" s="38" t="s">
        <v>2111</v>
      </c>
      <c r="N29" s="1132">
        <f>IF(D29&lt;=500,7.5,IF(D29&lt;1000,Q21+(Q22-Q21)*(D29-O21)/500,IF(D29&lt;=2500,Q22+(Q23-Q22)*(D29-O22)/(O23-O22),"")))</f>
        <v>7.5</v>
      </c>
    </row>
    <row r="30" spans="1:17" ht="19.5" customHeight="1" x14ac:dyDescent="0.25">
      <c r="A30" s="49"/>
      <c r="B30" s="49"/>
      <c r="C30" s="49"/>
      <c r="D30" s="49"/>
      <c r="E30" s="49"/>
      <c r="F30" s="49"/>
      <c r="G30" s="49"/>
      <c r="H30" s="49"/>
      <c r="I30" s="49"/>
      <c r="J30" s="49"/>
      <c r="K30" s="49"/>
      <c r="L30" s="80"/>
      <c r="M30" s="80"/>
    </row>
    <row r="31" spans="1:17" ht="19.5" hidden="1" customHeight="1" x14ac:dyDescent="0.25">
      <c r="A31" s="49"/>
      <c r="B31" s="1141" t="s">
        <v>2121</v>
      </c>
      <c r="C31" s="49"/>
      <c r="D31" s="49"/>
      <c r="E31" s="49"/>
      <c r="F31" s="49"/>
      <c r="G31" s="49"/>
      <c r="H31" s="49"/>
      <c r="I31" s="49"/>
      <c r="J31" s="49"/>
      <c r="K31" s="49"/>
      <c r="L31" s="80"/>
      <c r="M31" s="80"/>
    </row>
    <row r="32" spans="1:17" ht="46.5" hidden="1" customHeight="1" x14ac:dyDescent="0.25">
      <c r="A32" s="49"/>
      <c r="B32" s="2256"/>
      <c r="C32" s="2257"/>
      <c r="D32" s="2257"/>
      <c r="E32" s="2257"/>
      <c r="F32" s="2257"/>
      <c r="G32" s="2257"/>
      <c r="H32" s="2257"/>
      <c r="I32" s="2257"/>
      <c r="J32" s="49"/>
      <c r="K32" s="49"/>
      <c r="L32" s="80"/>
      <c r="M32" s="80"/>
    </row>
    <row r="33" spans="1:13" hidden="1" x14ac:dyDescent="0.25">
      <c r="A33" s="49"/>
      <c r="B33" s="50"/>
      <c r="C33" s="50"/>
      <c r="D33" s="50"/>
      <c r="E33" s="50"/>
      <c r="F33" s="49"/>
      <c r="G33" s="49"/>
      <c r="H33" s="49"/>
      <c r="I33" s="49"/>
      <c r="J33" s="49"/>
      <c r="K33" s="78"/>
    </row>
    <row r="34" spans="1:13" ht="18" customHeight="1" x14ac:dyDescent="0.25">
      <c r="A34" s="49"/>
      <c r="B34" s="2228" t="s">
        <v>2110</v>
      </c>
      <c r="C34" s="2228"/>
      <c r="D34" s="257" t="str">
        <f>IF(AND(F23="Yes",F24="Yes",F25="Yes",F26="Yes",F27="Yes",D29&gt;=5),"Yes","No")</f>
        <v>No</v>
      </c>
      <c r="E34" s="50"/>
      <c r="F34" s="49"/>
      <c r="G34" s="49"/>
      <c r="H34" s="49"/>
      <c r="I34" s="49"/>
      <c r="J34" s="49"/>
      <c r="K34" s="78"/>
    </row>
    <row r="35" spans="1:13" x14ac:dyDescent="0.25">
      <c r="A35" s="49"/>
      <c r="B35" s="50"/>
      <c r="C35" s="50"/>
      <c r="D35" s="50"/>
      <c r="E35" s="50"/>
      <c r="F35" s="49"/>
      <c r="G35" s="49"/>
      <c r="H35" s="49"/>
      <c r="I35" s="49"/>
      <c r="J35" s="49"/>
      <c r="K35" s="78"/>
    </row>
    <row r="36" spans="1:13" ht="18" customHeight="1" x14ac:dyDescent="0.25">
      <c r="A36" s="2180" t="s">
        <v>186</v>
      </c>
      <c r="B36" s="2180"/>
      <c r="C36" s="2180"/>
      <c r="D36" s="2180"/>
      <c r="E36" s="2180"/>
      <c r="F36" s="2180"/>
      <c r="G36" s="2180"/>
      <c r="H36" s="2180"/>
      <c r="I36" s="2180"/>
      <c r="J36" s="2180"/>
      <c r="K36" s="2180"/>
    </row>
    <row r="37" spans="1:13" ht="16.5" customHeight="1" x14ac:dyDescent="0.25">
      <c r="A37" s="49"/>
      <c r="B37" s="50"/>
      <c r="C37" s="50"/>
      <c r="D37" s="50"/>
      <c r="E37" s="50"/>
      <c r="F37" s="49"/>
      <c r="G37" s="49"/>
      <c r="H37" s="49"/>
      <c r="I37" s="49"/>
      <c r="J37" s="49"/>
      <c r="K37" s="78"/>
    </row>
    <row r="38" spans="1:13" ht="18" customHeight="1" x14ac:dyDescent="0.25">
      <c r="A38" s="49"/>
      <c r="B38" s="2183" t="s">
        <v>1739</v>
      </c>
      <c r="C38" s="2184"/>
      <c r="D38" s="2184"/>
      <c r="E38" s="2184"/>
      <c r="F38" s="2184"/>
      <c r="G38" s="1100" t="s">
        <v>1737</v>
      </c>
      <c r="H38" s="2185" t="s">
        <v>1738</v>
      </c>
      <c r="I38" s="2186"/>
      <c r="J38" s="49"/>
      <c r="K38" s="49"/>
      <c r="L38" s="49"/>
      <c r="M38" s="49"/>
    </row>
    <row r="39" spans="1:13" ht="24" customHeight="1" x14ac:dyDescent="0.25">
      <c r="A39" s="49"/>
      <c r="B39" s="1576" t="s">
        <v>2382</v>
      </c>
      <c r="C39" s="1577"/>
      <c r="D39" s="1577"/>
      <c r="E39" s="1577"/>
      <c r="F39" s="1578"/>
      <c r="G39" s="471" t="s">
        <v>124</v>
      </c>
      <c r="H39" s="1931"/>
      <c r="I39" s="1932"/>
      <c r="J39" s="49"/>
      <c r="K39" s="49"/>
      <c r="L39" s="49"/>
      <c r="M39" s="49"/>
    </row>
    <row r="40" spans="1:13" ht="16.5" customHeight="1" x14ac:dyDescent="0.25">
      <c r="A40" s="49"/>
      <c r="B40" s="50"/>
      <c r="C40" s="50"/>
      <c r="D40" s="50"/>
      <c r="E40" s="50"/>
      <c r="F40" s="49"/>
      <c r="G40" s="49"/>
      <c r="H40" s="49"/>
      <c r="I40" s="49"/>
      <c r="J40" s="49"/>
      <c r="K40" s="78"/>
    </row>
    <row r="41" spans="1:13" ht="18" customHeight="1" x14ac:dyDescent="0.25">
      <c r="A41" s="2180" t="s">
        <v>22</v>
      </c>
      <c r="B41" s="2180"/>
      <c r="C41" s="2180"/>
      <c r="D41" s="2180"/>
      <c r="E41" s="2180"/>
      <c r="F41" s="2180"/>
      <c r="G41" s="2180"/>
      <c r="H41" s="2180"/>
      <c r="I41" s="2180"/>
      <c r="J41" s="2180"/>
      <c r="K41" s="2180"/>
    </row>
    <row r="42" spans="1:13" x14ac:dyDescent="0.25">
      <c r="A42" s="49"/>
      <c r="B42" s="50"/>
      <c r="C42" s="50"/>
      <c r="D42" s="50"/>
      <c r="E42" s="50"/>
      <c r="F42" s="49"/>
      <c r="G42" s="49"/>
      <c r="H42" s="49"/>
      <c r="I42" s="49"/>
      <c r="J42" s="49"/>
      <c r="K42" s="49"/>
    </row>
    <row r="43" spans="1:13" ht="18" customHeight="1" x14ac:dyDescent="0.25">
      <c r="A43" s="49"/>
      <c r="B43" s="236" t="s">
        <v>53</v>
      </c>
      <c r="C43" s="10">
        <f>IF(D34="Yes",1,0)</f>
        <v>0</v>
      </c>
      <c r="D43" s="49"/>
      <c r="E43" s="49"/>
      <c r="F43" s="49"/>
      <c r="G43" s="49"/>
      <c r="H43" s="49"/>
      <c r="I43" s="49"/>
      <c r="J43" s="49"/>
      <c r="K43" s="49"/>
    </row>
    <row r="44" spans="1:13" ht="18" customHeight="1" x14ac:dyDescent="0.25">
      <c r="A44" s="49"/>
      <c r="B44" s="236" t="s">
        <v>492</v>
      </c>
      <c r="C44" s="181" t="str">
        <f>IF(AND(G39="Submitted",C43&gt;0),"Yes","No")</f>
        <v>No</v>
      </c>
      <c r="D44" s="49"/>
      <c r="E44" s="49"/>
      <c r="F44" s="49"/>
      <c r="G44" s="49"/>
      <c r="H44" s="49"/>
      <c r="I44" s="49"/>
      <c r="J44" s="49"/>
      <c r="K44" s="49"/>
    </row>
    <row r="45" spans="1:13" x14ac:dyDescent="0.25">
      <c r="A45" s="49"/>
      <c r="B45" s="50"/>
      <c r="C45" s="50"/>
      <c r="D45" s="50"/>
      <c r="E45" s="50"/>
      <c r="F45" s="49"/>
      <c r="G45" s="49"/>
      <c r="H45" s="49"/>
      <c r="I45" s="49"/>
      <c r="J45" s="49"/>
      <c r="K45" s="49"/>
    </row>
    <row r="46" spans="1:13" hidden="1" x14ac:dyDescent="0.25">
      <c r="A46" s="49"/>
      <c r="B46" s="50"/>
      <c r="C46" s="50"/>
      <c r="D46" s="50"/>
      <c r="E46" s="50"/>
      <c r="F46" s="49"/>
      <c r="G46" s="49"/>
      <c r="H46" s="49"/>
      <c r="I46" s="49"/>
      <c r="J46" s="49"/>
      <c r="K46" s="49"/>
    </row>
    <row r="47" spans="1:13" hidden="1" x14ac:dyDescent="0.25"/>
    <row r="48" spans="1:13"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sheetData>
  <sheetProtection algorithmName="SHA-512" hashValue="fT5OZtDLdTlhcoYpisVxPxxDcxMHh4wuLdYkxVa2L58TLEVrZL3xcCq4FZrghInqup7Qa+cMVwaOpcStMfBikQ==" saltValue="820WlsRi+YJQykO9DnV5lg==" spinCount="100000" sheet="1" objects="1" scenarios="1"/>
  <mergeCells count="24">
    <mergeCell ref="A41:K41"/>
    <mergeCell ref="B32:I32"/>
    <mergeCell ref="B39:F39"/>
    <mergeCell ref="G2:H4"/>
    <mergeCell ref="A5:K7"/>
    <mergeCell ref="B21:F21"/>
    <mergeCell ref="B34:C34"/>
    <mergeCell ref="B11:E11"/>
    <mergeCell ref="B12:E12"/>
    <mergeCell ref="B23:E23"/>
    <mergeCell ref="B24:E24"/>
    <mergeCell ref="B25:E25"/>
    <mergeCell ref="B29:C29"/>
    <mergeCell ref="A14:K14"/>
    <mergeCell ref="B26:E26"/>
    <mergeCell ref="B38:F38"/>
    <mergeCell ref="H38:I38"/>
    <mergeCell ref="H39:I39"/>
    <mergeCell ref="A1:K1"/>
    <mergeCell ref="B27:E27"/>
    <mergeCell ref="A36:K36"/>
    <mergeCell ref="A9:K9"/>
    <mergeCell ref="B17:I18"/>
    <mergeCell ref="B16:I16"/>
  </mergeCells>
  <conditionalFormatting sqref="G39">
    <cfRule type="expression" dxfId="47" priority="3">
      <formula>#REF!&lt;&gt;"Prescriptive Path"</formula>
    </cfRule>
  </conditionalFormatting>
  <conditionalFormatting sqref="H38:I38">
    <cfRule type="expression" dxfId="46" priority="2">
      <formula>#REF!&lt;&gt;"Prescriptive Path"</formula>
    </cfRule>
  </conditionalFormatting>
  <conditionalFormatting sqref="H39">
    <cfRule type="expression" dxfId="45" priority="1">
      <formula>#REF!&lt;&gt;"Prescriptive Path"</formula>
    </cfRule>
  </conditionalFormatting>
  <dataValidations disablePrompts="1" count="3">
    <dataValidation type="whole" allowBlank="1" showInputMessage="1" showErrorMessage="1" sqref="G12" xr:uid="{00000000-0002-0000-3000-000000000000}">
      <formula1>0</formula1>
      <formula2>F12</formula2>
    </dataValidation>
    <dataValidation type="list" allowBlank="1" showInputMessage="1" showErrorMessage="1" sqref="G39" xr:uid="{00000000-0002-0000-3000-000001000000}">
      <formula1>"Submitted,Not submitted"</formula1>
    </dataValidation>
    <dataValidation type="list" allowBlank="1" showInputMessage="1" showErrorMessage="1" sqref="F23:F27" xr:uid="{00000000-0002-0000-3000-000002000000}">
      <formula1>"Select,Yes,No"</formula1>
    </dataValidation>
  </dataValidations>
  <hyperlinks>
    <hyperlink ref="I3" location="'LE-2 Site design'!B3" tooltip="LE-2" display="LE-2" xr:uid="{00000000-0004-0000-3000-000000000000}"/>
    <hyperlink ref="I4" location="'LE-3 Vegetation'!D3" tooltip="LE-3" display="LE-3" xr:uid="{00000000-0004-0000-3000-000001000000}"/>
    <hyperlink ref="J4" location="'LE-6 Flood Risk Mitigation'!E3" tooltip="LE-6" display="LE-6" xr:uid="{00000000-0004-0000-3000-000002000000}"/>
    <hyperlink ref="I2" location="'LE-1 Site Selection'!B3" tooltip="LE-1" display="LE-1" xr:uid="{00000000-0004-0000-3000-000003000000}"/>
    <hyperlink ref="J2" location="'LE-4 Heat Island Effect'!D3" tooltip="LE-4" display="LE-4" xr:uid="{00000000-0004-0000-3000-000004000000}"/>
    <hyperlink ref="K3" location="'LE-7 Refrigerants'!E3" tooltip="LE-7" display="LE-7" xr:uid="{00000000-0004-0000-3000-000005000000}"/>
    <hyperlink ref="J3" location="'LE-5 Storm Water Runoff'!B3" tooltip="LE-5" display="LE-5" xr:uid="{00000000-0004-0000-3000-000006000000}"/>
  </hyperlink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dimension ref="A1:R98"/>
  <sheetViews>
    <sheetView showRowColHeaders="0" workbookViewId="0">
      <pane ySplit="7" topLeftCell="A8" activePane="bottomLeft" state="frozen"/>
      <selection pane="bottomLeft" activeCell="I13" sqref="I13"/>
    </sheetView>
  </sheetViews>
  <sheetFormatPr defaultColWidth="0" defaultRowHeight="15" customHeight="1" zeroHeight="1" x14ac:dyDescent="0.25"/>
  <cols>
    <col min="1" max="1" width="4.5703125" style="274" customWidth="1"/>
    <col min="2" max="4" width="10.7109375" style="274" customWidth="1"/>
    <col min="5" max="5" width="12.140625" style="274" customWidth="1"/>
    <col min="6" max="6" width="10.5703125" style="274" customWidth="1"/>
    <col min="7" max="7" width="10.85546875" style="274" customWidth="1"/>
    <col min="8" max="8" width="12.140625" style="274" customWidth="1"/>
    <col min="9" max="9" width="11.7109375" style="274" customWidth="1"/>
    <col min="10" max="16" width="10.7109375" style="274" customWidth="1"/>
    <col min="17" max="17" width="4.5703125" style="274" customWidth="1"/>
    <col min="18" max="18" width="0" style="274" hidden="1" customWidth="1"/>
    <col min="19" max="16384" width="9.140625" style="274" hidden="1"/>
  </cols>
  <sheetData>
    <row r="1" spans="1:18" ht="30" customHeight="1" x14ac:dyDescent="0.25">
      <c r="A1" s="1371" t="s">
        <v>2356</v>
      </c>
      <c r="B1" s="1371"/>
      <c r="C1" s="1371"/>
      <c r="D1" s="1371"/>
      <c r="E1" s="1371"/>
      <c r="F1" s="1371"/>
      <c r="G1" s="1371"/>
      <c r="H1" s="1371"/>
      <c r="I1" s="1371"/>
      <c r="J1" s="1011"/>
      <c r="K1" s="1369" t="s">
        <v>1045</v>
      </c>
      <c r="L1" s="1369"/>
      <c r="M1" s="1369"/>
      <c r="N1" s="1369"/>
      <c r="O1" s="1369"/>
      <c r="P1" s="1369"/>
      <c r="Q1" s="1011"/>
      <c r="R1" s="273"/>
    </row>
    <row r="2" spans="1:18" ht="18.75" x14ac:dyDescent="0.3">
      <c r="A2" s="1001"/>
      <c r="B2" s="1370" t="s">
        <v>1006</v>
      </c>
      <c r="C2" s="1370"/>
      <c r="D2" s="1370"/>
      <c r="E2" s="1370"/>
      <c r="F2" s="1001"/>
      <c r="G2" s="1001"/>
      <c r="H2" s="1001"/>
      <c r="I2" s="1001"/>
      <c r="J2" s="1368"/>
      <c r="K2" s="1368"/>
      <c r="L2" s="1004"/>
      <c r="M2" s="1004"/>
      <c r="N2" s="1001"/>
      <c r="O2" s="1001"/>
      <c r="P2" s="1000"/>
      <c r="Q2" s="1001"/>
      <c r="R2" s="273"/>
    </row>
    <row r="3" spans="1:18" ht="18.75" x14ac:dyDescent="0.3">
      <c r="A3" s="1001"/>
      <c r="B3" s="1370" t="s">
        <v>992</v>
      </c>
      <c r="C3" s="1370"/>
      <c r="D3" s="1370"/>
      <c r="E3" s="1370"/>
      <c r="F3" s="1001"/>
      <c r="G3" s="1001"/>
      <c r="H3" s="1001"/>
      <c r="I3" s="1001"/>
      <c r="J3" s="1005"/>
      <c r="K3" s="1005"/>
      <c r="L3" s="1004"/>
      <c r="M3" s="1004"/>
      <c r="N3" s="1001"/>
      <c r="O3" s="1001"/>
      <c r="P3" s="1000"/>
      <c r="Q3" s="1001"/>
      <c r="R3" s="273"/>
    </row>
    <row r="4" spans="1:18" ht="18.75" x14ac:dyDescent="0.3">
      <c r="A4" s="1001"/>
      <c r="B4" s="1370" t="s">
        <v>1007</v>
      </c>
      <c r="C4" s="1370"/>
      <c r="D4" s="1370"/>
      <c r="E4" s="1370"/>
      <c r="F4" s="1001"/>
      <c r="G4" s="1001"/>
      <c r="H4" s="1001"/>
      <c r="I4" s="1001"/>
      <c r="J4" s="1005"/>
      <c r="K4" s="1005"/>
      <c r="L4" s="1001"/>
      <c r="M4" s="1001"/>
      <c r="N4" s="1001"/>
      <c r="O4" s="1001"/>
      <c r="P4" s="1000"/>
      <c r="Q4" s="1001"/>
      <c r="R4" s="273"/>
    </row>
    <row r="5" spans="1:18" ht="12" customHeight="1" x14ac:dyDescent="0.25">
      <c r="A5" s="1001"/>
      <c r="B5" s="1001"/>
      <c r="C5" s="1001"/>
      <c r="D5" s="1001"/>
      <c r="E5" s="1001"/>
      <c r="F5" s="1001"/>
      <c r="G5" s="1001"/>
      <c r="H5" s="1001"/>
      <c r="I5" s="1001"/>
      <c r="J5" s="1000"/>
      <c r="K5" s="1000"/>
      <c r="L5" s="1007"/>
      <c r="M5" s="1007"/>
      <c r="N5" s="1007"/>
      <c r="O5" s="1007"/>
      <c r="P5" s="1000"/>
      <c r="Q5" s="1001"/>
      <c r="R5" s="273"/>
    </row>
    <row r="6" spans="1:18" ht="16.5" customHeight="1" x14ac:dyDescent="0.25">
      <c r="A6" s="1393" t="s">
        <v>2357</v>
      </c>
      <c r="B6" s="1393"/>
      <c r="C6" s="1393"/>
      <c r="D6" s="1393"/>
      <c r="E6" s="1393"/>
      <c r="F6" s="1393"/>
      <c r="G6" s="1393"/>
      <c r="H6" s="1393"/>
      <c r="I6" s="1393"/>
      <c r="J6" s="1393"/>
      <c r="K6" s="1393"/>
      <c r="L6" s="1393"/>
      <c r="M6" s="1393"/>
      <c r="N6" s="1393"/>
      <c r="O6" s="1393"/>
      <c r="P6" s="1393"/>
      <c r="Q6" s="1393"/>
      <c r="R6" s="273"/>
    </row>
    <row r="7" spans="1:18" ht="16.5" customHeight="1" x14ac:dyDescent="0.25">
      <c r="A7" s="1393" t="s">
        <v>1016</v>
      </c>
      <c r="B7" s="1393"/>
      <c r="C7" s="1393"/>
      <c r="D7" s="1393"/>
      <c r="E7" s="1393"/>
      <c r="F7" s="1393"/>
      <c r="G7" s="1393"/>
      <c r="H7" s="1393"/>
      <c r="I7" s="1393"/>
      <c r="J7" s="1393"/>
      <c r="K7" s="1393"/>
      <c r="L7" s="1393"/>
      <c r="M7" s="1393"/>
      <c r="N7" s="1393"/>
      <c r="O7" s="1393"/>
      <c r="P7" s="1393"/>
      <c r="Q7" s="1393"/>
      <c r="R7" s="273"/>
    </row>
    <row r="8" spans="1:18" ht="12" customHeight="1" x14ac:dyDescent="0.3">
      <c r="A8" s="617"/>
      <c r="B8" s="912"/>
      <c r="C8" s="911"/>
      <c r="D8" s="911"/>
      <c r="E8" s="911"/>
      <c r="F8" s="911"/>
      <c r="G8" s="617"/>
      <c r="H8" s="617"/>
      <c r="I8" s="617"/>
      <c r="J8" s="617"/>
      <c r="K8" s="617"/>
      <c r="L8" s="617"/>
      <c r="M8" s="617"/>
      <c r="N8" s="617"/>
      <c r="O8" s="617"/>
      <c r="P8" s="617"/>
      <c r="Q8" s="617"/>
      <c r="R8" s="273"/>
    </row>
    <row r="9" spans="1:18" ht="21" x14ac:dyDescent="0.35">
      <c r="A9" s="617"/>
      <c r="B9" s="1394" t="s">
        <v>1006</v>
      </c>
      <c r="C9" s="1394"/>
      <c r="D9" s="1394"/>
      <c r="E9" s="1394"/>
      <c r="F9" s="1394"/>
      <c r="G9" s="1394"/>
      <c r="H9" s="617"/>
      <c r="I9" s="617"/>
      <c r="J9" s="617"/>
      <c r="K9" s="617"/>
      <c r="L9" s="617"/>
      <c r="M9" s="617"/>
      <c r="N9" s="617"/>
      <c r="O9" s="617"/>
      <c r="P9" s="617"/>
      <c r="Q9" s="617"/>
      <c r="R9" s="273"/>
    </row>
    <row r="10" spans="1:18" ht="9" customHeight="1" x14ac:dyDescent="0.35">
      <c r="A10" s="617"/>
      <c r="B10" s="616"/>
      <c r="C10" s="911"/>
      <c r="D10" s="911"/>
      <c r="E10" s="911"/>
      <c r="F10" s="911"/>
      <c r="G10" s="617"/>
      <c r="H10" s="617"/>
      <c r="I10" s="617"/>
      <c r="J10" s="617"/>
      <c r="K10" s="617"/>
      <c r="L10" s="617"/>
      <c r="M10" s="617"/>
      <c r="N10" s="617"/>
      <c r="O10" s="617"/>
      <c r="P10" s="617"/>
      <c r="Q10" s="617"/>
      <c r="R10" s="273"/>
    </row>
    <row r="11" spans="1:18" ht="16.5" customHeight="1" x14ac:dyDescent="0.3">
      <c r="A11" s="617"/>
      <c r="B11" s="912" t="s">
        <v>1011</v>
      </c>
      <c r="C11" s="911"/>
      <c r="D11" s="911"/>
      <c r="E11" s="911"/>
      <c r="F11" s="911"/>
      <c r="G11" s="617"/>
      <c r="H11" s="617"/>
      <c r="I11" s="617"/>
      <c r="J11" s="617"/>
      <c r="K11" s="617"/>
      <c r="L11" s="617"/>
      <c r="M11" s="617"/>
      <c r="N11" s="617"/>
      <c r="O11" s="617"/>
      <c r="P11" s="617"/>
      <c r="Q11" s="617"/>
      <c r="R11" s="273"/>
    </row>
    <row r="12" spans="1:18" ht="16.5" customHeight="1" x14ac:dyDescent="0.3">
      <c r="A12" s="617"/>
      <c r="B12" s="912" t="s">
        <v>1012</v>
      </c>
      <c r="C12" s="911"/>
      <c r="D12" s="911"/>
      <c r="E12" s="911"/>
      <c r="F12" s="911"/>
      <c r="G12" s="617"/>
      <c r="H12" s="617"/>
      <c r="I12" s="617"/>
      <c r="J12" s="617"/>
      <c r="K12" s="617"/>
      <c r="L12" s="617"/>
      <c r="M12" s="617"/>
      <c r="N12" s="617"/>
      <c r="O12" s="617"/>
      <c r="P12" s="617"/>
      <c r="Q12" s="617"/>
      <c r="R12" s="273"/>
    </row>
    <row r="13" spans="1:18" ht="16.5" customHeight="1" x14ac:dyDescent="0.3">
      <c r="A13" s="617"/>
      <c r="B13" s="913" t="s">
        <v>1013</v>
      </c>
      <c r="C13" s="911"/>
      <c r="D13" s="911"/>
      <c r="E13" s="911"/>
      <c r="F13" s="911"/>
      <c r="G13" s="617"/>
      <c r="H13" s="617"/>
      <c r="I13" s="617"/>
      <c r="J13" s="617"/>
      <c r="K13" s="617"/>
      <c r="L13" s="617"/>
      <c r="M13" s="617"/>
      <c r="N13" s="617"/>
      <c r="O13" s="617"/>
      <c r="P13" s="617"/>
      <c r="Q13" s="617"/>
      <c r="R13" s="273"/>
    </row>
    <row r="14" spans="1:18" ht="16.5" customHeight="1" x14ac:dyDescent="0.3">
      <c r="A14" s="617"/>
      <c r="B14" s="913" t="s">
        <v>1014</v>
      </c>
      <c r="C14" s="911"/>
      <c r="D14" s="911"/>
      <c r="E14" s="911"/>
      <c r="F14" s="911"/>
      <c r="G14" s="617"/>
      <c r="H14" s="617"/>
      <c r="I14" s="617"/>
      <c r="J14" s="617"/>
      <c r="K14" s="617"/>
      <c r="L14" s="617"/>
      <c r="M14" s="617"/>
      <c r="N14" s="617"/>
      <c r="O14" s="617"/>
      <c r="P14" s="617"/>
      <c r="Q14" s="617"/>
      <c r="R14" s="273"/>
    </row>
    <row r="15" spans="1:18" ht="16.5" customHeight="1" x14ac:dyDescent="0.3">
      <c r="A15" s="617"/>
      <c r="B15" s="913" t="s">
        <v>1015</v>
      </c>
      <c r="C15" s="911"/>
      <c r="D15" s="911"/>
      <c r="E15" s="911"/>
      <c r="F15" s="911"/>
      <c r="G15" s="617"/>
      <c r="H15" s="617"/>
      <c r="I15" s="617"/>
      <c r="J15" s="617"/>
      <c r="K15" s="617"/>
      <c r="L15" s="617"/>
      <c r="M15" s="617"/>
      <c r="N15" s="617"/>
      <c r="O15" s="617"/>
      <c r="P15" s="617"/>
      <c r="Q15" s="617"/>
      <c r="R15" s="273"/>
    </row>
    <row r="16" spans="1:18" ht="12" customHeight="1" x14ac:dyDescent="0.3">
      <c r="A16" s="617"/>
      <c r="B16" s="914"/>
      <c r="C16" s="911"/>
      <c r="D16" s="911"/>
      <c r="E16" s="911"/>
      <c r="F16" s="911"/>
      <c r="G16" s="617"/>
      <c r="H16" s="617"/>
      <c r="I16" s="617"/>
      <c r="J16" s="617"/>
      <c r="K16" s="617"/>
      <c r="L16" s="617"/>
      <c r="M16" s="617"/>
      <c r="N16" s="617"/>
      <c r="O16" s="617"/>
      <c r="P16" s="617"/>
      <c r="Q16" s="617"/>
      <c r="R16" s="273"/>
    </row>
    <row r="17" spans="1:18" ht="21" x14ac:dyDescent="0.35">
      <c r="A17" s="617"/>
      <c r="B17" s="1394" t="s">
        <v>992</v>
      </c>
      <c r="C17" s="1394"/>
      <c r="D17" s="1394"/>
      <c r="E17" s="1394"/>
      <c r="F17" s="1394"/>
      <c r="G17" s="1394"/>
      <c r="H17" s="617"/>
      <c r="I17" s="617"/>
      <c r="J17" s="617"/>
      <c r="K17" s="617"/>
      <c r="L17" s="617"/>
      <c r="M17" s="617"/>
      <c r="N17" s="617"/>
      <c r="O17" s="617"/>
      <c r="P17" s="617"/>
      <c r="Q17" s="617"/>
      <c r="R17" s="273"/>
    </row>
    <row r="18" spans="1:18" ht="9" customHeight="1" x14ac:dyDescent="0.3">
      <c r="A18" s="617"/>
      <c r="B18" s="916"/>
      <c r="C18" s="915"/>
      <c r="D18" s="915"/>
      <c r="E18" s="915"/>
      <c r="F18" s="915"/>
      <c r="G18" s="915"/>
      <c r="H18" s="617"/>
      <c r="I18" s="617"/>
      <c r="J18" s="617"/>
      <c r="K18" s="617"/>
      <c r="L18" s="617"/>
      <c r="M18" s="617"/>
      <c r="N18" s="617"/>
      <c r="O18" s="617"/>
      <c r="P18" s="617"/>
      <c r="Q18" s="617"/>
      <c r="R18" s="273"/>
    </row>
    <row r="19" spans="1:18" ht="15" customHeight="1" x14ac:dyDescent="0.25">
      <c r="A19" s="617"/>
      <c r="B19" s="912" t="s">
        <v>2364</v>
      </c>
      <c r="C19" s="915"/>
      <c r="D19" s="915"/>
      <c r="E19" s="915"/>
      <c r="F19" s="915"/>
      <c r="G19" s="915"/>
      <c r="H19" s="617"/>
      <c r="I19" s="617"/>
      <c r="J19" s="617"/>
      <c r="K19" s="617"/>
      <c r="L19" s="617"/>
      <c r="M19" s="617"/>
      <c r="N19" s="617"/>
      <c r="O19" s="617"/>
      <c r="P19" s="617"/>
      <c r="Q19" s="617"/>
      <c r="R19" s="273"/>
    </row>
    <row r="20" spans="1:18" ht="16.5" customHeight="1" x14ac:dyDescent="0.3">
      <c r="A20" s="617"/>
      <c r="B20" s="912" t="s">
        <v>1017</v>
      </c>
      <c r="C20" s="911"/>
      <c r="D20" s="911"/>
      <c r="E20" s="911"/>
      <c r="F20" s="911"/>
      <c r="G20" s="617"/>
      <c r="H20" s="617"/>
      <c r="I20" s="617"/>
      <c r="J20" s="617"/>
      <c r="K20" s="617"/>
      <c r="L20" s="617"/>
      <c r="M20" s="617"/>
      <c r="N20" s="617"/>
      <c r="O20" s="617"/>
      <c r="P20" s="617"/>
      <c r="Q20" s="617"/>
      <c r="R20" s="273"/>
    </row>
    <row r="21" spans="1:18" ht="16.5" customHeight="1" x14ac:dyDescent="0.3">
      <c r="A21" s="617"/>
      <c r="B21" s="912" t="s">
        <v>1018</v>
      </c>
      <c r="C21" s="911"/>
      <c r="D21" s="911"/>
      <c r="E21" s="911"/>
      <c r="F21" s="911"/>
      <c r="G21" s="617"/>
      <c r="H21" s="617"/>
      <c r="I21" s="617"/>
      <c r="J21" s="617"/>
      <c r="K21" s="617"/>
      <c r="L21" s="617"/>
      <c r="M21" s="617"/>
      <c r="N21" s="617"/>
      <c r="O21" s="617"/>
      <c r="P21" s="617"/>
      <c r="Q21" s="617"/>
      <c r="R21" s="273"/>
    </row>
    <row r="22" spans="1:18" ht="16.5" customHeight="1" x14ac:dyDescent="0.3">
      <c r="A22" s="617"/>
      <c r="B22" s="913" t="s">
        <v>993</v>
      </c>
      <c r="C22" s="911"/>
      <c r="D22" s="911"/>
      <c r="E22" s="911"/>
      <c r="F22" s="911"/>
      <c r="G22" s="617"/>
      <c r="H22" s="617"/>
      <c r="I22" s="617"/>
      <c r="J22" s="617"/>
      <c r="K22" s="617"/>
      <c r="L22" s="617"/>
      <c r="M22" s="617"/>
      <c r="N22" s="617"/>
      <c r="O22" s="617"/>
      <c r="P22" s="617"/>
      <c r="Q22" s="617"/>
      <c r="R22" s="273"/>
    </row>
    <row r="23" spans="1:18" ht="16.5" customHeight="1" x14ac:dyDescent="0.3">
      <c r="A23" s="617"/>
      <c r="B23" s="913" t="s">
        <v>995</v>
      </c>
      <c r="C23" s="911"/>
      <c r="D23" s="911"/>
      <c r="E23" s="911"/>
      <c r="F23" s="911"/>
      <c r="G23" s="617"/>
      <c r="H23" s="617"/>
      <c r="I23" s="617"/>
      <c r="J23" s="617"/>
      <c r="K23" s="617"/>
      <c r="L23" s="617"/>
      <c r="M23" s="617"/>
      <c r="N23" s="617"/>
      <c r="O23" s="617"/>
      <c r="P23" s="617"/>
      <c r="Q23" s="617"/>
      <c r="R23" s="273"/>
    </row>
    <row r="24" spans="1:18" ht="16.5" customHeight="1" x14ac:dyDescent="0.3">
      <c r="A24" s="617"/>
      <c r="B24" s="913" t="s">
        <v>994</v>
      </c>
      <c r="C24" s="911"/>
      <c r="D24" s="911"/>
      <c r="E24" s="911"/>
      <c r="F24" s="911"/>
      <c r="G24" s="617"/>
      <c r="H24" s="617"/>
      <c r="I24" s="617"/>
      <c r="J24" s="617"/>
      <c r="K24" s="617"/>
      <c r="L24" s="617"/>
      <c r="M24" s="617"/>
      <c r="N24" s="617"/>
      <c r="O24" s="617"/>
      <c r="P24" s="617"/>
      <c r="Q24" s="617"/>
      <c r="R24" s="273"/>
    </row>
    <row r="25" spans="1:18" ht="16.5" customHeight="1" x14ac:dyDescent="0.3">
      <c r="A25" s="617"/>
      <c r="B25" s="912"/>
      <c r="C25" s="911"/>
      <c r="D25" s="911"/>
      <c r="E25" s="911"/>
      <c r="F25" s="911"/>
      <c r="G25" s="617"/>
      <c r="H25" s="617"/>
      <c r="I25" s="617"/>
      <c r="J25" s="617"/>
      <c r="K25" s="617"/>
      <c r="L25" s="617"/>
      <c r="M25" s="617"/>
      <c r="N25" s="617"/>
      <c r="O25" s="617"/>
      <c r="P25" s="617"/>
      <c r="Q25" s="617"/>
      <c r="R25" s="273"/>
    </row>
    <row r="26" spans="1:18" ht="17.25" customHeight="1" x14ac:dyDescent="0.3">
      <c r="A26" s="617"/>
      <c r="B26" s="912"/>
      <c r="C26" s="1012" t="s">
        <v>997</v>
      </c>
      <c r="D26" s="923"/>
      <c r="E26" s="923"/>
      <c r="F26" s="923"/>
      <c r="G26" s="617"/>
      <c r="H26" s="617"/>
      <c r="I26" s="617"/>
      <c r="J26" s="617"/>
      <c r="K26" s="617"/>
      <c r="L26" s="617"/>
      <c r="M26" s="617"/>
      <c r="N26" s="617"/>
      <c r="O26" s="617"/>
      <c r="P26" s="617"/>
      <c r="Q26" s="617"/>
      <c r="R26" s="273"/>
    </row>
    <row r="27" spans="1:18" ht="17.25" customHeight="1" x14ac:dyDescent="0.3">
      <c r="A27" s="617"/>
      <c r="B27" s="924"/>
      <c r="C27" s="1012" t="s">
        <v>996</v>
      </c>
      <c r="D27" s="924"/>
      <c r="E27" s="924"/>
      <c r="F27" s="925"/>
      <c r="G27" s="925"/>
      <c r="H27" s="925"/>
      <c r="I27" s="925"/>
      <c r="J27" s="617"/>
      <c r="K27" s="617"/>
      <c r="L27" s="925"/>
      <c r="M27" s="925"/>
      <c r="N27" s="925"/>
      <c r="O27" s="925"/>
      <c r="P27" s="925"/>
      <c r="Q27" s="615"/>
      <c r="R27" s="273"/>
    </row>
    <row r="28" spans="1:18" ht="17.25" customHeight="1" x14ac:dyDescent="0.3">
      <c r="A28" s="617"/>
      <c r="B28" s="912"/>
      <c r="C28" s="1012" t="s">
        <v>998</v>
      </c>
      <c r="D28" s="925"/>
      <c r="E28" s="925"/>
      <c r="F28" s="925"/>
      <c r="G28" s="925"/>
      <c r="H28" s="925"/>
      <c r="I28" s="925"/>
      <c r="J28" s="617"/>
      <c r="K28" s="617"/>
      <c r="L28" s="925"/>
      <c r="M28" s="925"/>
      <c r="N28" s="925"/>
      <c r="O28" s="925"/>
      <c r="P28" s="925"/>
      <c r="Q28" s="615"/>
      <c r="R28" s="273"/>
    </row>
    <row r="29" spans="1:18" ht="10.5" customHeight="1" x14ac:dyDescent="0.25">
      <c r="A29" s="617"/>
      <c r="B29" s="925"/>
      <c r="C29" s="925"/>
      <c r="D29" s="925"/>
      <c r="E29" s="925"/>
      <c r="F29" s="925"/>
      <c r="G29" s="925"/>
      <c r="H29" s="925"/>
      <c r="I29" s="925"/>
      <c r="J29" s="617"/>
      <c r="K29" s="617"/>
      <c r="L29" s="925"/>
      <c r="M29" s="925"/>
      <c r="N29" s="925"/>
      <c r="O29" s="925"/>
      <c r="P29" s="925"/>
      <c r="Q29" s="615"/>
      <c r="R29" s="273"/>
    </row>
    <row r="30" spans="1:18" ht="10.5" customHeight="1" x14ac:dyDescent="0.25">
      <c r="A30" s="617"/>
      <c r="B30" s="925"/>
      <c r="C30" s="925"/>
      <c r="D30" s="925"/>
      <c r="E30" s="925"/>
      <c r="F30" s="925"/>
      <c r="G30" s="925"/>
      <c r="H30" s="925"/>
      <c r="I30" s="925"/>
      <c r="J30" s="617"/>
      <c r="K30" s="617"/>
      <c r="L30" s="925"/>
      <c r="M30" s="925"/>
      <c r="N30" s="925"/>
      <c r="O30" s="925"/>
      <c r="P30" s="925"/>
      <c r="Q30" s="615"/>
      <c r="R30" s="273"/>
    </row>
    <row r="31" spans="1:18" ht="21" customHeight="1" x14ac:dyDescent="0.35">
      <c r="A31" s="617"/>
      <c r="B31" s="1394" t="s">
        <v>1008</v>
      </c>
      <c r="C31" s="1394"/>
      <c r="D31" s="1394"/>
      <c r="E31" s="1394"/>
      <c r="F31" s="1394"/>
      <c r="G31" s="1394"/>
      <c r="H31" s="925"/>
      <c r="I31" s="925"/>
      <c r="J31" s="617"/>
      <c r="K31" s="617"/>
      <c r="L31" s="925"/>
      <c r="M31" s="925"/>
      <c r="N31" s="925"/>
      <c r="O31" s="925"/>
      <c r="P31" s="925"/>
      <c r="Q31" s="615"/>
      <c r="R31" s="273"/>
    </row>
    <row r="32" spans="1:18" ht="9" customHeight="1" x14ac:dyDescent="0.3">
      <c r="A32" s="617"/>
      <c r="B32" s="916"/>
      <c r="C32" s="915"/>
      <c r="D32" s="915"/>
      <c r="E32" s="915"/>
      <c r="F32" s="915"/>
      <c r="G32" s="915"/>
      <c r="H32" s="617"/>
      <c r="I32" s="617"/>
      <c r="J32" s="617"/>
      <c r="K32" s="617"/>
      <c r="L32" s="617"/>
      <c r="M32" s="617"/>
      <c r="N32" s="617"/>
      <c r="O32" s="617"/>
      <c r="P32" s="617"/>
      <c r="Q32" s="617"/>
      <c r="R32" s="273"/>
    </row>
    <row r="33" spans="1:18" x14ac:dyDescent="0.25">
      <c r="A33" s="617"/>
      <c r="B33" s="926" t="s">
        <v>1413</v>
      </c>
      <c r="C33" s="925"/>
      <c r="D33" s="925"/>
      <c r="E33" s="925"/>
      <c r="F33" s="925"/>
      <c r="G33" s="925"/>
      <c r="H33" s="925"/>
      <c r="I33" s="925"/>
      <c r="J33" s="617"/>
      <c r="K33" s="925"/>
      <c r="L33" s="925"/>
      <c r="M33" s="925"/>
      <c r="N33" s="925"/>
      <c r="O33" s="925"/>
      <c r="P33" s="925"/>
      <c r="Q33" s="615"/>
      <c r="R33" s="273"/>
    </row>
    <row r="34" spans="1:18" ht="16.5" customHeight="1" x14ac:dyDescent="0.25">
      <c r="A34" s="617"/>
      <c r="B34" s="926" t="s">
        <v>1019</v>
      </c>
      <c r="C34" s="925"/>
      <c r="D34" s="925"/>
      <c r="E34" s="925"/>
      <c r="F34" s="925"/>
      <c r="G34" s="925"/>
      <c r="H34" s="925"/>
      <c r="I34" s="925"/>
      <c r="J34" s="925"/>
      <c r="K34" s="925"/>
      <c r="L34" s="925"/>
      <c r="M34" s="925"/>
      <c r="N34" s="925"/>
      <c r="O34" s="925"/>
      <c r="P34" s="925"/>
      <c r="Q34" s="615"/>
      <c r="R34" s="273"/>
    </row>
    <row r="35" spans="1:18" ht="15.75" customHeight="1" x14ac:dyDescent="0.25">
      <c r="A35" s="617"/>
      <c r="B35" s="927" t="s">
        <v>1020</v>
      </c>
      <c r="C35" s="912"/>
      <c r="D35" s="912"/>
      <c r="E35" s="912"/>
      <c r="F35" s="925"/>
      <c r="G35" s="925"/>
      <c r="H35" s="925"/>
      <c r="I35" s="925"/>
      <c r="J35" s="925"/>
      <c r="K35" s="925"/>
      <c r="L35" s="925"/>
      <c r="M35" s="925"/>
      <c r="N35" s="925"/>
      <c r="O35" s="925"/>
      <c r="P35" s="925"/>
      <c r="Q35" s="615"/>
      <c r="R35" s="273"/>
    </row>
    <row r="36" spans="1:18" ht="15.75" customHeight="1" x14ac:dyDescent="0.25">
      <c r="A36" s="617"/>
      <c r="B36" s="927" t="s">
        <v>1021</v>
      </c>
      <c r="C36" s="912"/>
      <c r="D36" s="912"/>
      <c r="E36" s="912"/>
      <c r="F36" s="925"/>
      <c r="G36" s="925"/>
      <c r="H36" s="925"/>
      <c r="I36" s="925"/>
      <c r="J36" s="925"/>
      <c r="K36" s="925"/>
      <c r="L36" s="925"/>
      <c r="M36" s="925"/>
      <c r="N36" s="925"/>
      <c r="O36" s="925"/>
      <c r="P36" s="925"/>
      <c r="Q36" s="615"/>
      <c r="R36" s="273"/>
    </row>
    <row r="37" spans="1:18" ht="12" customHeight="1" x14ac:dyDescent="0.25">
      <c r="A37" s="617"/>
      <c r="B37" s="912"/>
      <c r="C37" s="912"/>
      <c r="D37" s="912"/>
      <c r="E37" s="912"/>
      <c r="F37" s="925"/>
      <c r="G37" s="925"/>
      <c r="H37" s="925"/>
      <c r="I37" s="925"/>
      <c r="J37" s="925"/>
      <c r="K37" s="925"/>
      <c r="L37" s="925"/>
      <c r="M37" s="925"/>
      <c r="N37" s="925"/>
      <c r="O37" s="925"/>
      <c r="P37" s="925"/>
      <c r="Q37" s="615"/>
      <c r="R37" s="273"/>
    </row>
    <row r="38" spans="1:18" x14ac:dyDescent="0.25">
      <c r="A38" s="617"/>
      <c r="B38" s="917" t="s">
        <v>1022</v>
      </c>
      <c r="C38" s="615"/>
      <c r="D38" s="615"/>
      <c r="E38" s="615"/>
      <c r="F38" s="615"/>
      <c r="G38" s="615"/>
      <c r="H38" s="615"/>
      <c r="I38" s="615"/>
      <c r="J38" s="615"/>
      <c r="K38" s="615"/>
      <c r="L38" s="615"/>
      <c r="M38" s="615"/>
      <c r="N38" s="615"/>
      <c r="O38" s="615"/>
      <c r="P38" s="615"/>
      <c r="Q38" s="615"/>
      <c r="R38" s="273"/>
    </row>
    <row r="39" spans="1:18" x14ac:dyDescent="0.25">
      <c r="A39" s="617"/>
      <c r="B39" s="917" t="s">
        <v>1023</v>
      </c>
      <c r="C39" s="615"/>
      <c r="D39" s="615"/>
      <c r="E39" s="615"/>
      <c r="F39" s="615"/>
      <c r="G39" s="615"/>
      <c r="H39" s="615"/>
      <c r="I39" s="615"/>
      <c r="J39" s="615"/>
      <c r="K39" s="615"/>
      <c r="L39" s="615"/>
      <c r="M39" s="615"/>
      <c r="N39" s="615"/>
      <c r="O39" s="615"/>
      <c r="P39" s="615"/>
      <c r="Q39" s="615"/>
      <c r="R39" s="273"/>
    </row>
    <row r="40" spans="1:18" ht="20.25" customHeight="1" x14ac:dyDescent="0.25">
      <c r="A40" s="617"/>
      <c r="B40" s="1399" t="s">
        <v>999</v>
      </c>
      <c r="C40" s="1395"/>
      <c r="D40" s="1395"/>
      <c r="E40" s="1395" t="s">
        <v>1000</v>
      </c>
      <c r="F40" s="1395" t="s">
        <v>1000</v>
      </c>
      <c r="G40" s="1395"/>
      <c r="H40" s="1395" t="s">
        <v>1005</v>
      </c>
      <c r="I40" s="1395"/>
      <c r="J40" s="1395" t="s">
        <v>1001</v>
      </c>
      <c r="K40" s="1395"/>
      <c r="L40" s="1395" t="s">
        <v>716</v>
      </c>
      <c r="M40" s="1400"/>
      <c r="N40" s="925"/>
      <c r="O40" s="925"/>
      <c r="P40" s="925"/>
      <c r="Q40" s="615"/>
      <c r="R40" s="273"/>
    </row>
    <row r="41" spans="1:18" ht="39.75" customHeight="1" x14ac:dyDescent="0.25">
      <c r="A41" s="617"/>
      <c r="B41" s="1396" t="s">
        <v>2363</v>
      </c>
      <c r="C41" s="1397"/>
      <c r="D41" s="1398"/>
      <c r="E41" s="1396" t="s">
        <v>2362</v>
      </c>
      <c r="F41" s="1397" t="s">
        <v>1000</v>
      </c>
      <c r="G41" s="1398"/>
      <c r="H41" s="1396" t="s">
        <v>1003</v>
      </c>
      <c r="I41" s="1397"/>
      <c r="J41" s="1375" t="s">
        <v>140</v>
      </c>
      <c r="K41" s="1376"/>
      <c r="L41" s="1375" t="s">
        <v>1004</v>
      </c>
      <c r="M41" s="1376"/>
      <c r="N41" s="925"/>
      <c r="O41" s="925"/>
      <c r="P41" s="925"/>
      <c r="Q41" s="615"/>
      <c r="R41" s="273"/>
    </row>
    <row r="42" spans="1:18" x14ac:dyDescent="0.25">
      <c r="A42" s="617"/>
      <c r="B42" s="928" t="s">
        <v>1002</v>
      </c>
      <c r="C42" s="615"/>
      <c r="D42" s="615"/>
      <c r="E42" s="615"/>
      <c r="F42" s="615"/>
      <c r="G42" s="615"/>
      <c r="H42" s="615"/>
      <c r="I42" s="615"/>
      <c r="J42" s="615"/>
      <c r="K42" s="615"/>
      <c r="L42" s="615"/>
      <c r="M42" s="615"/>
      <c r="N42" s="615"/>
      <c r="O42" s="615"/>
      <c r="P42" s="615"/>
      <c r="Q42" s="615"/>
      <c r="R42" s="273"/>
    </row>
    <row r="43" spans="1:18" ht="18.75" x14ac:dyDescent="0.3">
      <c r="A43" s="617"/>
      <c r="B43" s="912"/>
      <c r="C43" s="923"/>
      <c r="D43" s="615"/>
      <c r="E43" s="615"/>
      <c r="F43" s="615"/>
      <c r="G43" s="615"/>
      <c r="H43" s="615"/>
      <c r="I43" s="615"/>
      <c r="J43" s="615"/>
      <c r="K43" s="615"/>
      <c r="L43" s="615"/>
      <c r="M43" s="615"/>
      <c r="N43" s="615"/>
      <c r="O43" s="615"/>
      <c r="P43" s="615"/>
      <c r="Q43" s="615"/>
      <c r="R43" s="273"/>
    </row>
    <row r="44" spans="1:18" ht="18.75" x14ac:dyDescent="0.3">
      <c r="A44" s="617"/>
      <c r="B44" s="924"/>
      <c r="C44" s="1012" t="s">
        <v>1024</v>
      </c>
      <c r="D44" s="615"/>
      <c r="E44" s="615"/>
      <c r="F44" s="615"/>
      <c r="G44" s="615"/>
      <c r="H44" s="615"/>
      <c r="I44" s="615"/>
      <c r="J44" s="615"/>
      <c r="K44" s="615"/>
      <c r="L44" s="615"/>
      <c r="M44" s="615"/>
      <c r="N44" s="615"/>
      <c r="O44" s="615"/>
      <c r="P44" s="615"/>
      <c r="Q44" s="615"/>
      <c r="R44" s="273"/>
    </row>
    <row r="45" spans="1:18" ht="18.75" x14ac:dyDescent="0.3">
      <c r="A45" s="617"/>
      <c r="B45" s="912"/>
      <c r="C45" s="1012" t="s">
        <v>1025</v>
      </c>
      <c r="D45" s="615"/>
      <c r="E45" s="615"/>
      <c r="F45" s="615"/>
      <c r="G45" s="615"/>
      <c r="H45" s="615"/>
      <c r="I45" s="615"/>
      <c r="J45" s="615"/>
      <c r="K45" s="615"/>
      <c r="L45" s="615"/>
      <c r="M45" s="615"/>
      <c r="N45" s="615"/>
      <c r="O45" s="615"/>
      <c r="P45" s="615"/>
      <c r="Q45" s="615"/>
      <c r="R45" s="273"/>
    </row>
    <row r="46" spans="1:18" ht="12.75" customHeight="1" x14ac:dyDescent="0.3">
      <c r="A46" s="617"/>
      <c r="B46" s="912"/>
      <c r="C46" s="923"/>
      <c r="D46" s="615"/>
      <c r="E46" s="615"/>
      <c r="F46" s="615"/>
      <c r="G46" s="615"/>
      <c r="H46" s="615"/>
      <c r="I46" s="615"/>
      <c r="J46" s="615"/>
      <c r="K46" s="615"/>
      <c r="L46" s="615"/>
      <c r="M46" s="615"/>
      <c r="N46" s="615"/>
      <c r="O46" s="615"/>
      <c r="P46" s="615"/>
      <c r="Q46" s="615"/>
      <c r="R46" s="273"/>
    </row>
    <row r="47" spans="1:18" x14ac:dyDescent="0.25">
      <c r="A47" s="617"/>
      <c r="B47" s="917"/>
      <c r="C47" s="615"/>
      <c r="D47" s="615"/>
      <c r="E47" s="615"/>
      <c r="F47" s="615"/>
      <c r="G47" s="615"/>
      <c r="H47" s="615"/>
      <c r="I47" s="615"/>
      <c r="J47" s="615"/>
      <c r="K47" s="615"/>
      <c r="L47" s="615"/>
      <c r="M47" s="615"/>
      <c r="N47" s="615"/>
      <c r="O47" s="615"/>
      <c r="P47" s="615"/>
      <c r="Q47" s="615"/>
      <c r="R47" s="273"/>
    </row>
    <row r="48" spans="1:18" ht="17.25" customHeight="1" x14ac:dyDescent="0.25">
      <c r="A48" s="617"/>
      <c r="B48" s="615"/>
      <c r="C48" s="615"/>
      <c r="D48" s="615"/>
      <c r="E48" s="615"/>
      <c r="F48" s="615"/>
      <c r="G48" s="615"/>
      <c r="H48" s="615"/>
      <c r="I48" s="615"/>
      <c r="J48" s="615"/>
      <c r="K48" s="615"/>
      <c r="L48" s="615"/>
      <c r="M48" s="615"/>
      <c r="N48" s="615"/>
      <c r="O48" s="615"/>
      <c r="P48" s="615"/>
      <c r="Q48" s="615"/>
      <c r="R48" s="273"/>
    </row>
    <row r="49" spans="1:18" ht="17.25" hidden="1" customHeight="1" x14ac:dyDescent="0.25">
      <c r="A49" s="273"/>
      <c r="B49" s="275"/>
      <c r="C49" s="275"/>
      <c r="D49" s="275"/>
      <c r="E49" s="275"/>
      <c r="F49" s="275"/>
      <c r="G49" s="275"/>
      <c r="H49" s="275"/>
      <c r="I49" s="275"/>
      <c r="J49" s="275"/>
      <c r="K49" s="275"/>
      <c r="L49" s="275"/>
      <c r="M49" s="275"/>
      <c r="N49" s="275"/>
      <c r="O49" s="275"/>
      <c r="P49" s="275"/>
      <c r="Q49" s="275"/>
      <c r="R49" s="273"/>
    </row>
    <row r="50" spans="1:18" ht="17.25" hidden="1" customHeight="1" x14ac:dyDescent="0.25">
      <c r="A50" s="273"/>
      <c r="B50" s="275"/>
      <c r="C50" s="275"/>
      <c r="D50" s="275"/>
      <c r="E50" s="275"/>
      <c r="F50" s="275"/>
      <c r="G50" s="275"/>
      <c r="H50" s="275"/>
      <c r="I50" s="275"/>
      <c r="J50" s="275"/>
      <c r="K50" s="275"/>
      <c r="L50" s="275"/>
      <c r="M50" s="275"/>
      <c r="N50" s="275"/>
      <c r="O50" s="275"/>
      <c r="P50" s="275"/>
      <c r="Q50" s="275"/>
      <c r="R50" s="273"/>
    </row>
    <row r="51" spans="1:18" ht="17.25" hidden="1" customHeight="1" x14ac:dyDescent="0.25">
      <c r="A51" s="273"/>
      <c r="B51" s="275"/>
      <c r="C51" s="275"/>
      <c r="D51" s="275"/>
      <c r="E51" s="275"/>
      <c r="F51" s="275"/>
      <c r="G51" s="275"/>
      <c r="H51" s="275"/>
      <c r="I51" s="275"/>
      <c r="J51" s="275"/>
      <c r="K51" s="275"/>
      <c r="L51" s="275"/>
      <c r="M51" s="275"/>
      <c r="N51" s="275"/>
      <c r="O51" s="275"/>
      <c r="P51" s="275"/>
      <c r="Q51" s="275"/>
      <c r="R51" s="273"/>
    </row>
    <row r="52" spans="1:18" ht="17.25" hidden="1" customHeight="1" x14ac:dyDescent="0.25">
      <c r="A52" s="273"/>
      <c r="B52" s="275"/>
      <c r="C52" s="275"/>
      <c r="D52" s="275"/>
      <c r="E52" s="275"/>
      <c r="F52" s="275"/>
      <c r="G52" s="275"/>
      <c r="H52" s="275"/>
      <c r="I52" s="275"/>
      <c r="J52" s="275"/>
      <c r="K52" s="275"/>
      <c r="L52" s="275"/>
      <c r="M52" s="275"/>
      <c r="N52" s="275"/>
      <c r="O52" s="275"/>
      <c r="P52" s="275"/>
      <c r="Q52" s="275"/>
      <c r="R52" s="273"/>
    </row>
    <row r="53" spans="1:18" ht="17.25" hidden="1" customHeight="1" x14ac:dyDescent="0.25">
      <c r="A53" s="273"/>
      <c r="B53" s="275"/>
      <c r="C53" s="275"/>
      <c r="D53" s="275"/>
      <c r="E53" s="275"/>
      <c r="F53" s="275"/>
      <c r="G53" s="275"/>
      <c r="H53" s="275"/>
      <c r="I53" s="275"/>
      <c r="J53" s="275"/>
      <c r="K53" s="275"/>
      <c r="L53" s="275"/>
      <c r="M53" s="275"/>
      <c r="N53" s="275"/>
      <c r="O53" s="275"/>
      <c r="P53" s="275"/>
      <c r="Q53" s="275"/>
      <c r="R53" s="273"/>
    </row>
    <row r="54" spans="1:18" ht="15" hidden="1" customHeight="1" x14ac:dyDescent="0.25"/>
    <row r="55" spans="1:18" ht="15" hidden="1" customHeight="1" x14ac:dyDescent="0.25"/>
    <row r="56" spans="1:18" ht="15" hidden="1" customHeight="1" x14ac:dyDescent="0.25"/>
    <row r="57" spans="1:18" ht="15" hidden="1" customHeight="1" x14ac:dyDescent="0.25"/>
    <row r="58" spans="1:18" ht="15" hidden="1" customHeight="1" x14ac:dyDescent="0.25"/>
    <row r="59" spans="1:18" ht="15" hidden="1" customHeight="1" x14ac:dyDescent="0.25"/>
    <row r="60" spans="1:18" ht="15" hidden="1" customHeight="1" x14ac:dyDescent="0.25"/>
    <row r="61" spans="1:18" ht="15" hidden="1" customHeight="1" x14ac:dyDescent="0.25"/>
    <row r="62" spans="1:18" ht="15" hidden="1" customHeight="1" x14ac:dyDescent="0.25"/>
    <row r="63" spans="1:18" ht="15" hidden="1" customHeight="1" x14ac:dyDescent="0.25"/>
    <row r="64" spans="1:18"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sheetData>
  <sheetProtection algorithmName="SHA-512" hashValue="ePye9vCeeFA02pnQsbdnX4KSdppPrNZUO8sS+/FJGuloSZC7C0mpYlennsGQg1uk2nsUPKI9NLiAFf7MvJsV4A==" saltValue="3URS1OU4fIbc9KxboG98MQ==" spinCount="100000" sheet="1" objects="1" scenarios="1"/>
  <mergeCells count="21">
    <mergeCell ref="H40:I40"/>
    <mergeCell ref="J40:K40"/>
    <mergeCell ref="H41:I41"/>
    <mergeCell ref="A1:I1"/>
    <mergeCell ref="B2:E2"/>
    <mergeCell ref="B3:E3"/>
    <mergeCell ref="B4:E4"/>
    <mergeCell ref="B41:D41"/>
    <mergeCell ref="E41:G41"/>
    <mergeCell ref="E40:G40"/>
    <mergeCell ref="B40:D40"/>
    <mergeCell ref="J2:K2"/>
    <mergeCell ref="K1:P1"/>
    <mergeCell ref="J41:K41"/>
    <mergeCell ref="L40:M40"/>
    <mergeCell ref="L41:M41"/>
    <mergeCell ref="A6:Q6"/>
    <mergeCell ref="A7:Q7"/>
    <mergeCell ref="B9:G9"/>
    <mergeCell ref="B17:G17"/>
    <mergeCell ref="B31:G31"/>
  </mergeCells>
  <hyperlinks>
    <hyperlink ref="B3" location="Instructions!B16" tooltip="How to use this tool?" display="2. How to use this tool?" xr:uid="{00000000-0004-0000-0400-000000000000}"/>
    <hyperlink ref="B2" location="Instructions!B8" tooltip="General" display="1. General" xr:uid="{00000000-0004-0000-0400-000001000000}"/>
    <hyperlink ref="B4" location="Instructions!B35" tooltip="LOTUS Homes Submissions" display="3. LOTUS Homes Submissions" xr:uid="{00000000-0004-0000-0400-000002000000}"/>
    <hyperlink ref="B4:E4" location="Recommendations!B31" tooltip="Credit Compliance" display="3. Credit Compliance" xr:uid="{00000000-0004-0000-0400-000003000000}"/>
    <hyperlink ref="B3:E3" location="Recommendations!B17" tooltip="Selection of targeted credits" display="2. Selection of targeted credits" xr:uid="{00000000-0004-0000-0400-000004000000}"/>
    <hyperlink ref="B2:E2" location="Recommendations!B9" tooltip="Project and Objectives" display="1. Define the project and objectives" xr:uid="{00000000-0004-0000-0400-000005000000}"/>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2">
    <tabColor rgb="FF984806"/>
  </sheetPr>
  <dimension ref="A1:M55"/>
  <sheetViews>
    <sheetView showRowColHeaders="0" zoomScale="90" zoomScaleNormal="90" workbookViewId="0">
      <selection activeCell="E6" sqref="E6:F6"/>
    </sheetView>
  </sheetViews>
  <sheetFormatPr defaultColWidth="0" defaultRowHeight="0" customHeight="1" zeroHeight="1" x14ac:dyDescent="0.25"/>
  <cols>
    <col min="1" max="1" width="5.7109375" customWidth="1"/>
    <col min="2" max="2" width="33.42578125" customWidth="1"/>
    <col min="3" max="3" width="3.7109375" customWidth="1"/>
    <col min="4" max="4" width="11.140625" customWidth="1"/>
    <col min="5" max="5" width="21.5703125" customWidth="1"/>
    <col min="6" max="6" width="21.140625" customWidth="1"/>
    <col min="7" max="8" width="19.7109375" customWidth="1"/>
    <col min="9" max="9" width="8.7109375" customWidth="1"/>
    <col min="10" max="10" width="8" customWidth="1"/>
    <col min="11" max="11" width="2.85546875" customWidth="1"/>
    <col min="12" max="12" width="5.28515625" customWidth="1"/>
    <col min="13" max="16384" width="9.140625" hidden="1"/>
  </cols>
  <sheetData>
    <row r="1" spans="1:13" ht="31.5" customHeight="1" x14ac:dyDescent="0.25">
      <c r="A1" s="301"/>
      <c r="B1" s="2259" t="s">
        <v>138</v>
      </c>
      <c r="C1" s="302"/>
      <c r="D1" s="311"/>
      <c r="E1" s="312"/>
      <c r="F1" s="312"/>
      <c r="G1" s="312"/>
      <c r="H1" s="312"/>
      <c r="I1" s="312"/>
      <c r="J1" s="312"/>
      <c r="K1" s="312"/>
      <c r="L1" s="313"/>
      <c r="M1" s="312"/>
    </row>
    <row r="2" spans="1:13" ht="24.75" customHeight="1" x14ac:dyDescent="0.25">
      <c r="A2" s="303"/>
      <c r="B2" s="2260"/>
      <c r="C2" s="304"/>
      <c r="D2" s="314"/>
      <c r="E2" s="315"/>
      <c r="F2" s="315"/>
      <c r="G2" s="315"/>
      <c r="H2" s="315"/>
      <c r="I2" s="315"/>
      <c r="J2" s="315"/>
      <c r="K2" s="315"/>
      <c r="L2" s="316"/>
      <c r="M2" s="315"/>
    </row>
    <row r="3" spans="1:13" ht="24.75" customHeight="1" x14ac:dyDescent="0.25">
      <c r="A3" s="303"/>
      <c r="B3" s="2260"/>
      <c r="C3" s="304"/>
      <c r="D3" s="314"/>
      <c r="E3" s="315"/>
      <c r="F3" s="315"/>
      <c r="G3" s="315"/>
      <c r="H3" s="315"/>
      <c r="I3" s="315"/>
      <c r="J3" s="315"/>
      <c r="K3" s="315"/>
      <c r="L3" s="316"/>
      <c r="M3" s="315"/>
    </row>
    <row r="4" spans="1:13" ht="18.75" customHeight="1" x14ac:dyDescent="0.25">
      <c r="A4" s="303"/>
      <c r="B4" s="305"/>
      <c r="C4" s="306"/>
      <c r="D4" s="314"/>
      <c r="E4" s="2261" t="s">
        <v>363</v>
      </c>
      <c r="F4" s="2262"/>
      <c r="G4" s="2265" t="s">
        <v>364</v>
      </c>
      <c r="H4" s="2265" t="s">
        <v>53</v>
      </c>
      <c r="I4" s="315"/>
      <c r="J4" s="315"/>
      <c r="K4" s="315"/>
      <c r="L4" s="316"/>
      <c r="M4" s="315"/>
    </row>
    <row r="5" spans="1:13" ht="15" customHeight="1" x14ac:dyDescent="0.25">
      <c r="A5" s="303"/>
      <c r="B5" s="2268" t="str">
        <f>IF(A1="","To ensure that, throughout the project, all targets set up for the various stages (design, construction and operation) are competently and effectively managed","Nhằm đảm bảo rằng, các mục tiêu đặt ra trong từng bước của quá trình xây dựng (thiết kế, xây dựng, vận hành thử nghiệm và vận hành chính thức) được quản lý đẩy đủ và hiệu quả.")</f>
        <v>To ensure that, throughout the project, all targets set up for the various stages (design, construction and operation) are competently and effectively managed</v>
      </c>
      <c r="C5" s="307"/>
      <c r="D5" s="314"/>
      <c r="E5" s="2263"/>
      <c r="F5" s="2264"/>
      <c r="G5" s="2265"/>
      <c r="H5" s="2265"/>
      <c r="I5" s="315"/>
      <c r="J5" s="315"/>
      <c r="K5" s="315"/>
      <c r="L5" s="316"/>
      <c r="M5" s="315"/>
    </row>
    <row r="6" spans="1:13" ht="21.75" customHeight="1" x14ac:dyDescent="0.25">
      <c r="A6" s="303"/>
      <c r="B6" s="2268"/>
      <c r="C6" s="307"/>
      <c r="D6" s="314"/>
      <c r="E6" s="2266" t="s">
        <v>137</v>
      </c>
      <c r="F6" s="2267"/>
      <c r="G6" s="165">
        <v>1</v>
      </c>
      <c r="H6" s="165">
        <f>'CM-1 Design Stage'!G12</f>
        <v>0</v>
      </c>
      <c r="I6" s="315"/>
      <c r="J6" s="315"/>
      <c r="K6" s="315"/>
      <c r="L6" s="316"/>
      <c r="M6" s="315"/>
    </row>
    <row r="7" spans="1:13" ht="21.75" customHeight="1" x14ac:dyDescent="0.25">
      <c r="A7" s="303"/>
      <c r="B7" s="2268"/>
      <c r="C7" s="307"/>
      <c r="D7" s="314"/>
      <c r="E7" s="2266" t="s">
        <v>136</v>
      </c>
      <c r="F7" s="2267"/>
      <c r="G7" s="165">
        <v>3</v>
      </c>
      <c r="H7" s="165">
        <f>SUM('CM-2 Construction Management'!G12:G16)</f>
        <v>0</v>
      </c>
      <c r="I7" s="315"/>
      <c r="J7" s="315"/>
      <c r="K7" s="315"/>
      <c r="L7" s="316"/>
      <c r="M7" s="315"/>
    </row>
    <row r="8" spans="1:13" ht="21.75" customHeight="1" x14ac:dyDescent="0.25">
      <c r="A8" s="303"/>
      <c r="B8" s="2268"/>
      <c r="C8" s="307"/>
      <c r="D8" s="314"/>
      <c r="E8" s="2266" t="s">
        <v>135</v>
      </c>
      <c r="F8" s="2267"/>
      <c r="G8" s="165">
        <v>3</v>
      </c>
      <c r="H8" s="165">
        <f>'CM-3 Operational Management'!G15</f>
        <v>0</v>
      </c>
      <c r="I8" s="315"/>
      <c r="J8" s="315"/>
      <c r="K8" s="315"/>
      <c r="L8" s="316"/>
      <c r="M8" s="315"/>
    </row>
    <row r="9" spans="1:13" ht="21.75" customHeight="1" x14ac:dyDescent="0.25">
      <c r="A9" s="303"/>
      <c r="B9" s="2268"/>
      <c r="C9" s="307"/>
      <c r="D9" s="314"/>
      <c r="E9" s="2266" t="s">
        <v>1815</v>
      </c>
      <c r="F9" s="2267"/>
      <c r="G9" s="165">
        <v>1</v>
      </c>
      <c r="H9" s="165">
        <f>'CM-4 Access for PWD'!G12</f>
        <v>0</v>
      </c>
      <c r="I9" s="315"/>
      <c r="J9" s="315"/>
      <c r="K9" s="315"/>
      <c r="L9" s="316"/>
      <c r="M9" s="315"/>
    </row>
    <row r="10" spans="1:13" ht="21.75" customHeight="1" x14ac:dyDescent="0.25">
      <c r="A10" s="308"/>
      <c r="B10" s="2268"/>
      <c r="C10" s="307"/>
      <c r="D10" s="314"/>
      <c r="E10" s="2266" t="s">
        <v>365</v>
      </c>
      <c r="F10" s="2267"/>
      <c r="G10" s="165">
        <v>4</v>
      </c>
      <c r="H10" s="165">
        <f>'CM BPC'!G15</f>
        <v>0</v>
      </c>
      <c r="I10" s="315"/>
      <c r="J10" s="315"/>
      <c r="K10" s="315"/>
      <c r="L10" s="316"/>
      <c r="M10" s="315"/>
    </row>
    <row r="11" spans="1:13" ht="23.25" customHeight="1" x14ac:dyDescent="0.25">
      <c r="A11" s="308"/>
      <c r="B11" s="2268"/>
      <c r="C11" s="307"/>
      <c r="D11" s="314"/>
      <c r="E11" s="2269" t="s">
        <v>79</v>
      </c>
      <c r="F11" s="2270"/>
      <c r="G11" s="108">
        <f>SUM(G6:G10)</f>
        <v>12</v>
      </c>
      <c r="H11" s="108">
        <f>SUM(H6:H10)</f>
        <v>0</v>
      </c>
      <c r="I11" s="315"/>
      <c r="J11" s="315"/>
      <c r="K11" s="315"/>
      <c r="L11" s="316"/>
      <c r="M11" s="315"/>
    </row>
    <row r="12" spans="1:13" ht="15" customHeight="1" x14ac:dyDescent="0.25">
      <c r="A12" s="308"/>
      <c r="B12" s="320"/>
      <c r="C12" s="307"/>
      <c r="D12" s="314"/>
      <c r="E12" s="315"/>
      <c r="F12" s="315"/>
      <c r="G12" s="315"/>
      <c r="H12" s="315"/>
      <c r="I12" s="315"/>
      <c r="J12" s="315"/>
      <c r="K12" s="315"/>
      <c r="L12" s="316"/>
      <c r="M12" s="315"/>
    </row>
    <row r="13" spans="1:13" ht="15" customHeight="1" x14ac:dyDescent="0.25">
      <c r="A13" s="308"/>
      <c r="B13" s="320"/>
      <c r="C13" s="307"/>
      <c r="D13" s="314"/>
      <c r="E13" s="315"/>
      <c r="F13" s="315"/>
      <c r="G13" s="315"/>
      <c r="H13" s="315"/>
      <c r="I13" s="315"/>
      <c r="J13" s="315"/>
      <c r="K13" s="315"/>
      <c r="L13" s="316"/>
      <c r="M13" s="315"/>
    </row>
    <row r="14" spans="1:13" ht="19.5" customHeight="1" x14ac:dyDescent="0.25">
      <c r="A14" s="309"/>
      <c r="B14" s="321"/>
      <c r="C14" s="310"/>
      <c r="D14" s="317"/>
      <c r="E14" s="318"/>
      <c r="F14" s="318"/>
      <c r="G14" s="318"/>
      <c r="H14" s="318"/>
      <c r="I14" s="318"/>
      <c r="J14" s="318"/>
      <c r="K14" s="318"/>
      <c r="L14" s="319"/>
      <c r="M14" s="318"/>
    </row>
    <row r="15" spans="1:13" ht="15" hidden="1" customHeight="1" x14ac:dyDescent="0.25"/>
    <row r="16" spans="1:13"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sheetData>
  <sheetProtection algorithmName="SHA-512" hashValue="j4ACFsHlxTMYkHeaV3GPLaDkKJr1l6zpyKQRtD4BlxCWZxWpxqIlRC5IeP7x9R5vVKuE31TaDkEasJ9gcPH+RA==" saltValue="WUpW2aeVQWHpnyGL/wQMqw==" spinCount="100000" sheet="1" objects="1" scenarios="1"/>
  <mergeCells count="11">
    <mergeCell ref="B1:B3"/>
    <mergeCell ref="E4:F5"/>
    <mergeCell ref="G4:G5"/>
    <mergeCell ref="H4:H5"/>
    <mergeCell ref="E10:F10"/>
    <mergeCell ref="E6:F6"/>
    <mergeCell ref="E7:F7"/>
    <mergeCell ref="E8:F8"/>
    <mergeCell ref="B5:B11"/>
    <mergeCell ref="E9:F9"/>
    <mergeCell ref="E11:F11"/>
  </mergeCells>
  <hyperlinks>
    <hyperlink ref="E6" location="'CM-1 Design Stage'!A1" tooltip="CM-1 Design Stage" display="CM-1 Design Stage" xr:uid="{00000000-0004-0000-3100-000000000000}"/>
    <hyperlink ref="E7" location="'CM-2 Construction Management'!A1" tooltip="CM-2 Construction Management" display="CM-2 Construction Management" xr:uid="{00000000-0004-0000-3100-000001000000}"/>
    <hyperlink ref="E8" location="'CM-3 Operational Management'!A1" tooltip="CM-3 Operational Management" display="CM-3 Operational Management" xr:uid="{00000000-0004-0000-3100-000002000000}"/>
    <hyperlink ref="E10:F10" location="'CM BPC'!B3" tooltip="Best Practice Credits" display="Best Practice Credits" xr:uid="{00000000-0004-0000-3100-000003000000}"/>
    <hyperlink ref="E6:F6" location="'CM-1 Design Stage'!C3" tooltip="CM-1 Design Stage" display="CM-1 Design Stage" xr:uid="{00000000-0004-0000-3100-000004000000}"/>
    <hyperlink ref="E7:F7" location="'CM-2 Construction Management'!B3" tooltip="CM-2 Construction Management" display="CM-2 Construction Management" xr:uid="{00000000-0004-0000-3100-000005000000}"/>
    <hyperlink ref="E8:F8" location="'CM-3 Operational Management'!C3" tooltip="CM-3 Operational Management" display="CM-3 Operational Management" xr:uid="{00000000-0004-0000-3100-000006000000}"/>
    <hyperlink ref="E9" location="'CM-3 Operational Management'!A1" tooltip="CM-3 Operational Management" display="CM-3 Operational Management" xr:uid="{00000000-0004-0000-3100-000007000000}"/>
    <hyperlink ref="E9:F9" location="'CM-4 Access for PWD'!B3" tooltip="CM-4 Access for People with Disabilities" display="CM-4 Access for People with Disabilities" xr:uid="{00000000-0004-0000-3100-000008000000}"/>
  </hyperlinks>
  <pageMargins left="0.7" right="0.7" top="0.75" bottom="0.75" header="0.3" footer="0.3"/>
  <pageSetup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1">
    <tabColor rgb="FF984806"/>
  </sheetPr>
  <dimension ref="A1:K80"/>
  <sheetViews>
    <sheetView showRowColHeaders="0" workbookViewId="0">
      <pane ySplit="8" topLeftCell="A9" activePane="bottomLeft" state="frozen"/>
      <selection activeCell="E21" sqref="E21"/>
      <selection pane="bottomLeft" activeCell="J2" sqref="J2"/>
    </sheetView>
  </sheetViews>
  <sheetFormatPr defaultColWidth="0" defaultRowHeight="15" customHeight="1" zeroHeight="1" x14ac:dyDescent="0.25"/>
  <cols>
    <col min="1" max="1" width="5.7109375" style="38" customWidth="1"/>
    <col min="2" max="2" width="18.42578125" style="38" customWidth="1"/>
    <col min="3" max="3" width="17" style="38" customWidth="1"/>
    <col min="4" max="5" width="18.42578125" style="38" customWidth="1"/>
    <col min="6" max="8" width="17.85546875" style="38" customWidth="1"/>
    <col min="9" max="9" width="12.7109375" style="38" customWidth="1"/>
    <col min="10" max="11" width="8.7109375" style="38" customWidth="1"/>
    <col min="12" max="16384" width="9.140625" style="38" hidden="1"/>
  </cols>
  <sheetData>
    <row r="1" spans="1:11" ht="25.5" customHeight="1" x14ac:dyDescent="0.25">
      <c r="A1" s="2284" t="s">
        <v>137</v>
      </c>
      <c r="B1" s="2284"/>
      <c r="C1" s="2284"/>
      <c r="D1" s="2284"/>
      <c r="E1" s="2284"/>
      <c r="F1" s="2284"/>
      <c r="G1" s="2284"/>
      <c r="H1" s="2284"/>
      <c r="I1" s="2284"/>
      <c r="J1" s="2284"/>
      <c r="K1" s="2284"/>
    </row>
    <row r="2" spans="1:11" ht="15" customHeight="1" x14ac:dyDescent="0.25">
      <c r="A2" s="49"/>
      <c r="B2" s="50"/>
      <c r="C2" s="50"/>
      <c r="D2" s="50"/>
      <c r="E2" s="50"/>
      <c r="F2" s="49"/>
      <c r="G2" s="49"/>
      <c r="H2" s="1585" t="s">
        <v>1762</v>
      </c>
      <c r="I2" s="1585"/>
      <c r="J2" s="743" t="s">
        <v>140</v>
      </c>
      <c r="K2" s="743"/>
    </row>
    <row r="3" spans="1:11" ht="15" customHeight="1" x14ac:dyDescent="0.25">
      <c r="A3" s="49"/>
      <c r="B3" s="50"/>
      <c r="C3" s="50"/>
      <c r="D3" s="50"/>
      <c r="E3" s="50"/>
      <c r="F3" s="49"/>
      <c r="G3" s="49"/>
      <c r="H3" s="1585"/>
      <c r="I3" s="1585"/>
      <c r="J3" s="743" t="s">
        <v>141</v>
      </c>
      <c r="K3" s="743" t="s">
        <v>76</v>
      </c>
    </row>
    <row r="4" spans="1:11" ht="15" customHeight="1" x14ac:dyDescent="0.25">
      <c r="A4" s="49"/>
      <c r="B4" s="50"/>
      <c r="C4" s="50"/>
      <c r="D4" s="50"/>
      <c r="E4" s="50"/>
      <c r="F4" s="49"/>
      <c r="G4" s="49"/>
      <c r="H4" s="1586"/>
      <c r="I4" s="1586"/>
      <c r="J4" s="743" t="s">
        <v>1813</v>
      </c>
      <c r="K4" s="743"/>
    </row>
    <row r="5" spans="1:11" ht="16.5" customHeight="1" x14ac:dyDescent="0.25">
      <c r="A5" s="1600" t="s">
        <v>2662</v>
      </c>
      <c r="B5" s="1601"/>
      <c r="C5" s="1601"/>
      <c r="D5" s="1601"/>
      <c r="E5" s="1601"/>
      <c r="F5" s="1601"/>
      <c r="G5" s="1601"/>
      <c r="H5" s="1601"/>
      <c r="I5" s="1601"/>
      <c r="J5" s="1601"/>
      <c r="K5" s="1601"/>
    </row>
    <row r="6" spans="1:11" ht="16.5" customHeight="1" x14ac:dyDescent="0.25">
      <c r="A6" s="1603"/>
      <c r="B6" s="1604"/>
      <c r="C6" s="1604"/>
      <c r="D6" s="1604"/>
      <c r="E6" s="1604"/>
      <c r="F6" s="1604"/>
      <c r="G6" s="1604"/>
      <c r="H6" s="1604"/>
      <c r="I6" s="1604"/>
      <c r="J6" s="1604"/>
      <c r="K6" s="1604"/>
    </row>
    <row r="7" spans="1:11" ht="16.5" customHeight="1" x14ac:dyDescent="0.25">
      <c r="A7" s="1606"/>
      <c r="B7" s="1607"/>
      <c r="C7" s="1607"/>
      <c r="D7" s="1607"/>
      <c r="E7" s="1607"/>
      <c r="F7" s="1607"/>
      <c r="G7" s="1607"/>
      <c r="H7" s="1607"/>
      <c r="I7" s="1607"/>
      <c r="J7" s="1607"/>
      <c r="K7" s="1607"/>
    </row>
    <row r="8" spans="1:11" ht="12" customHeight="1" x14ac:dyDescent="0.25">
      <c r="A8" s="49"/>
      <c r="B8" s="50"/>
      <c r="C8" s="50"/>
      <c r="D8" s="50"/>
      <c r="E8" s="50"/>
      <c r="F8" s="49"/>
      <c r="G8" s="49"/>
      <c r="H8" s="49"/>
      <c r="I8" s="49"/>
      <c r="J8" s="49"/>
      <c r="K8" s="49"/>
    </row>
    <row r="9" spans="1:11" ht="18" customHeight="1" x14ac:dyDescent="0.25">
      <c r="A9" s="2278" t="s">
        <v>177</v>
      </c>
      <c r="B9" s="2278"/>
      <c r="C9" s="2278"/>
      <c r="D9" s="2278"/>
      <c r="E9" s="2278"/>
      <c r="F9" s="2278"/>
      <c r="G9" s="2278"/>
      <c r="H9" s="2278"/>
      <c r="I9" s="2278"/>
      <c r="J9" s="2278"/>
      <c r="K9" s="2278"/>
    </row>
    <row r="10" spans="1:11" ht="16.5" customHeight="1" x14ac:dyDescent="0.25">
      <c r="A10" s="49"/>
      <c r="B10" s="50"/>
      <c r="C10" s="50"/>
      <c r="D10" s="50"/>
      <c r="E10" s="50"/>
      <c r="F10" s="49"/>
      <c r="G10" s="49"/>
      <c r="H10" s="49"/>
      <c r="I10" s="49"/>
      <c r="J10" s="49"/>
      <c r="K10" s="49"/>
    </row>
    <row r="11" spans="1:11" ht="19.5" customHeight="1" x14ac:dyDescent="0.25">
      <c r="A11" s="49"/>
      <c r="B11" s="2285" t="s">
        <v>178</v>
      </c>
      <c r="C11" s="2286"/>
      <c r="D11" s="2286"/>
      <c r="E11" s="2286"/>
      <c r="F11" s="564" t="s">
        <v>152</v>
      </c>
      <c r="G11" s="564" t="s">
        <v>53</v>
      </c>
      <c r="H11" s="60" t="s">
        <v>492</v>
      </c>
      <c r="I11" s="49"/>
      <c r="J11" s="49"/>
      <c r="K11" s="49"/>
    </row>
    <row r="12" spans="1:11" ht="21" customHeight="1" x14ac:dyDescent="0.25">
      <c r="A12" s="49"/>
      <c r="B12" s="1791" t="s">
        <v>10</v>
      </c>
      <c r="C12" s="1792"/>
      <c r="D12" s="1792"/>
      <c r="E12" s="1793"/>
      <c r="F12" s="272">
        <v>1</v>
      </c>
      <c r="G12" s="272">
        <f>C50</f>
        <v>0</v>
      </c>
      <c r="H12" s="272" t="str">
        <f>C51</f>
        <v>No</v>
      </c>
      <c r="I12" s="49"/>
      <c r="J12" s="49"/>
      <c r="K12" s="49"/>
    </row>
    <row r="13" spans="1:11" ht="16.5" customHeight="1" x14ac:dyDescent="0.25">
      <c r="A13" s="49"/>
      <c r="B13" s="50"/>
      <c r="C13" s="50"/>
      <c r="D13" s="50"/>
      <c r="E13" s="50"/>
      <c r="F13" s="49"/>
      <c r="G13" s="49"/>
      <c r="H13" s="49"/>
      <c r="I13" s="49"/>
      <c r="J13" s="49"/>
      <c r="K13" s="49"/>
    </row>
    <row r="14" spans="1:11" ht="18" customHeight="1" x14ac:dyDescent="0.25">
      <c r="A14" s="2278" t="s">
        <v>245</v>
      </c>
      <c r="B14" s="2278"/>
      <c r="C14" s="2278"/>
      <c r="D14" s="2278"/>
      <c r="E14" s="2278"/>
      <c r="F14" s="2278"/>
      <c r="G14" s="2278"/>
      <c r="H14" s="2278"/>
      <c r="I14" s="2278"/>
      <c r="J14" s="2278"/>
      <c r="K14" s="2278"/>
    </row>
    <row r="15" spans="1:11" x14ac:dyDescent="0.25">
      <c r="A15" s="49"/>
      <c r="B15" s="50"/>
      <c r="C15" s="50"/>
      <c r="D15" s="50"/>
      <c r="E15" s="50"/>
      <c r="F15" s="49"/>
      <c r="G15" s="49"/>
      <c r="H15" s="49"/>
      <c r="I15" s="49"/>
      <c r="J15" s="49"/>
      <c r="K15" s="49"/>
    </row>
    <row r="16" spans="1:11" x14ac:dyDescent="0.25">
      <c r="A16" s="49"/>
      <c r="B16" s="698" t="s">
        <v>1209</v>
      </c>
      <c r="C16" s="50"/>
      <c r="D16" s="50"/>
      <c r="E16" s="50"/>
      <c r="F16" s="49"/>
      <c r="G16" s="49"/>
      <c r="H16" s="49"/>
      <c r="I16" s="49"/>
      <c r="J16" s="49"/>
      <c r="K16" s="49"/>
    </row>
    <row r="17" spans="1:11" x14ac:dyDescent="0.25">
      <c r="A17" s="49"/>
      <c r="B17" s="581"/>
      <c r="C17" s="50"/>
      <c r="D17" s="50"/>
      <c r="E17" s="50"/>
      <c r="F17" s="49"/>
      <c r="G17" s="49"/>
      <c r="H17" s="49"/>
      <c r="I17" s="49"/>
      <c r="J17" s="49"/>
      <c r="K17" s="49"/>
    </row>
    <row r="18" spans="1:11" x14ac:dyDescent="0.25">
      <c r="A18" s="49"/>
      <c r="B18" s="2279" t="s">
        <v>1208</v>
      </c>
      <c r="C18" s="2279"/>
      <c r="D18" s="2279"/>
      <c r="E18" s="2279"/>
      <c r="F18" s="2279"/>
      <c r="G18" s="2279"/>
      <c r="H18" s="2279"/>
      <c r="I18" s="2279"/>
      <c r="J18" s="49"/>
      <c r="K18" s="49"/>
    </row>
    <row r="19" spans="1:11" x14ac:dyDescent="0.25">
      <c r="A19" s="49"/>
      <c r="B19" s="2279"/>
      <c r="C19" s="2279"/>
      <c r="D19" s="2279"/>
      <c r="E19" s="2279"/>
      <c r="F19" s="2279"/>
      <c r="G19" s="2279"/>
      <c r="H19" s="2279"/>
      <c r="I19" s="2279"/>
      <c r="J19" s="49"/>
      <c r="K19" s="49"/>
    </row>
    <row r="20" spans="1:11" x14ac:dyDescent="0.25">
      <c r="A20" s="49"/>
      <c r="B20" s="2279"/>
      <c r="C20" s="2279"/>
      <c r="D20" s="2279"/>
      <c r="E20" s="2279"/>
      <c r="F20" s="2279"/>
      <c r="G20" s="2279"/>
      <c r="H20" s="2279"/>
      <c r="I20" s="2279"/>
      <c r="J20" s="49"/>
      <c r="K20" s="49"/>
    </row>
    <row r="21" spans="1:11" ht="19.5" customHeight="1" x14ac:dyDescent="0.25">
      <c r="A21" s="49"/>
      <c r="B21" s="50"/>
      <c r="C21" s="50"/>
      <c r="D21" s="50"/>
      <c r="E21" s="50"/>
      <c r="F21" s="49"/>
      <c r="G21" s="49"/>
      <c r="H21" s="49"/>
      <c r="I21" s="49"/>
      <c r="J21" s="49"/>
      <c r="K21" s="49"/>
    </row>
    <row r="22" spans="1:11" x14ac:dyDescent="0.25">
      <c r="A22" s="49"/>
      <c r="B22" s="697" t="s">
        <v>1207</v>
      </c>
      <c r="C22" s="50"/>
      <c r="D22" s="50"/>
      <c r="E22" s="50"/>
      <c r="F22" s="49"/>
      <c r="G22" s="49"/>
      <c r="H22" s="49"/>
      <c r="I22" s="49"/>
      <c r="J22" s="49"/>
      <c r="K22" s="49"/>
    </row>
    <row r="23" spans="1:11" ht="9" customHeight="1" x14ac:dyDescent="0.25">
      <c r="A23" s="49"/>
      <c r="B23" s="50"/>
      <c r="C23" s="50"/>
      <c r="D23" s="50"/>
      <c r="E23" s="50"/>
      <c r="F23" s="49"/>
      <c r="G23" s="49"/>
      <c r="H23" s="49"/>
      <c r="I23" s="49"/>
      <c r="J23" s="49"/>
      <c r="K23" s="49"/>
    </row>
    <row r="24" spans="1:11" ht="15" customHeight="1" x14ac:dyDescent="0.25">
      <c r="A24" s="49"/>
      <c r="B24" s="195" t="s">
        <v>246</v>
      </c>
      <c r="C24" s="50"/>
      <c r="D24" s="50"/>
      <c r="E24" s="50"/>
      <c r="F24" s="49"/>
      <c r="G24" s="49"/>
      <c r="H24" s="49"/>
      <c r="I24" s="49"/>
      <c r="J24" s="49"/>
      <c r="K24" s="49"/>
    </row>
    <row r="25" spans="1:11" ht="18" customHeight="1" x14ac:dyDescent="0.25">
      <c r="A25" s="49"/>
      <c r="B25" s="260" t="s">
        <v>191</v>
      </c>
      <c r="C25" s="2272"/>
      <c r="D25" s="2273"/>
      <c r="E25" s="49"/>
      <c r="F25" s="49"/>
      <c r="G25" s="49"/>
      <c r="H25" s="49"/>
      <c r="I25" s="49"/>
      <c r="J25" s="49"/>
      <c r="K25" s="49"/>
    </row>
    <row r="26" spans="1:11" ht="18" customHeight="1" x14ac:dyDescent="0.25">
      <c r="A26" s="49"/>
      <c r="B26" s="260" t="s">
        <v>247</v>
      </c>
      <c r="C26" s="2272"/>
      <c r="D26" s="2273"/>
      <c r="E26" s="49"/>
      <c r="F26" s="49"/>
      <c r="G26" s="49"/>
      <c r="H26" s="49"/>
      <c r="I26" s="49"/>
      <c r="J26" s="49"/>
      <c r="K26" s="49"/>
    </row>
    <row r="27" spans="1:11" ht="12" customHeight="1" x14ac:dyDescent="0.25">
      <c r="A27" s="49"/>
      <c r="B27" s="49"/>
      <c r="C27" s="49"/>
      <c r="D27" s="49"/>
      <c r="E27" s="49"/>
      <c r="F27" s="49"/>
      <c r="G27" s="49"/>
      <c r="H27" s="49"/>
      <c r="I27" s="49"/>
      <c r="J27" s="49"/>
      <c r="K27" s="49"/>
    </row>
    <row r="28" spans="1:11" ht="14.25" customHeight="1" x14ac:dyDescent="0.25">
      <c r="A28" s="49"/>
      <c r="B28" s="195" t="s">
        <v>248</v>
      </c>
      <c r="C28" s="185"/>
      <c r="D28" s="185"/>
      <c r="E28" s="185"/>
      <c r="F28" s="185"/>
      <c r="G28" s="185"/>
      <c r="H28" s="185"/>
      <c r="I28" s="185"/>
      <c r="J28" s="185"/>
      <c r="K28" s="49"/>
    </row>
    <row r="29" spans="1:11" ht="19.5" customHeight="1" x14ac:dyDescent="0.25">
      <c r="A29" s="49"/>
      <c r="B29" s="2276" t="s">
        <v>249</v>
      </c>
      <c r="C29" s="2277"/>
      <c r="D29" s="2276" t="s">
        <v>250</v>
      </c>
      <c r="E29" s="2277"/>
      <c r="F29" s="49"/>
      <c r="G29" s="49"/>
      <c r="H29" s="49"/>
      <c r="I29" s="49"/>
      <c r="J29" s="49"/>
      <c r="K29" s="49"/>
    </row>
    <row r="30" spans="1:11" ht="16.5" customHeight="1" x14ac:dyDescent="0.25">
      <c r="A30" s="49"/>
      <c r="B30" s="2272"/>
      <c r="C30" s="2273"/>
      <c r="D30" s="2272"/>
      <c r="E30" s="2273"/>
      <c r="F30" s="49"/>
      <c r="G30" s="49"/>
      <c r="H30" s="49"/>
      <c r="I30" s="49"/>
      <c r="J30" s="49"/>
      <c r="K30" s="49"/>
    </row>
    <row r="31" spans="1:11" ht="16.5" customHeight="1" x14ac:dyDescent="0.25">
      <c r="A31" s="49"/>
      <c r="B31" s="2272"/>
      <c r="C31" s="2273"/>
      <c r="D31" s="2272"/>
      <c r="E31" s="2273"/>
      <c r="F31" s="49"/>
      <c r="G31" s="49"/>
      <c r="H31" s="49"/>
      <c r="I31" s="49"/>
      <c r="J31" s="49"/>
      <c r="K31" s="49"/>
    </row>
    <row r="32" spans="1:11" ht="16.5" customHeight="1" x14ac:dyDescent="0.25">
      <c r="A32" s="49"/>
      <c r="B32" s="2272"/>
      <c r="C32" s="2273"/>
      <c r="D32" s="2272"/>
      <c r="E32" s="2273"/>
      <c r="F32" s="49"/>
      <c r="G32" s="49"/>
      <c r="H32" s="49"/>
      <c r="I32" s="49"/>
      <c r="J32" s="49"/>
      <c r="K32" s="49"/>
    </row>
    <row r="33" spans="1:11" ht="16.5" customHeight="1" x14ac:dyDescent="0.25">
      <c r="A33" s="49"/>
      <c r="B33" s="2272"/>
      <c r="C33" s="2273"/>
      <c r="D33" s="2272"/>
      <c r="E33" s="2273"/>
      <c r="F33" s="49"/>
      <c r="G33" s="49"/>
      <c r="H33" s="49"/>
      <c r="I33" s="49"/>
      <c r="J33" s="49"/>
      <c r="K33" s="49"/>
    </row>
    <row r="34" spans="1:11" ht="16.5" customHeight="1" x14ac:dyDescent="0.25">
      <c r="A34" s="49"/>
      <c r="B34" s="2272"/>
      <c r="C34" s="2273"/>
      <c r="D34" s="2272"/>
      <c r="E34" s="2273"/>
      <c r="F34" s="49"/>
      <c r="G34" s="49"/>
      <c r="H34" s="49"/>
      <c r="I34" s="49"/>
      <c r="J34" s="49"/>
      <c r="K34" s="49"/>
    </row>
    <row r="35" spans="1:11" ht="16.5" customHeight="1" x14ac:dyDescent="0.25">
      <c r="A35" s="49"/>
      <c r="B35" s="2272"/>
      <c r="C35" s="2273"/>
      <c r="D35" s="2272"/>
      <c r="E35" s="2273"/>
      <c r="F35" s="49"/>
      <c r="G35" s="49"/>
      <c r="H35" s="49"/>
      <c r="I35" s="49"/>
      <c r="J35" s="49"/>
      <c r="K35" s="49"/>
    </row>
    <row r="36" spans="1:11" x14ac:dyDescent="0.25">
      <c r="A36" s="49"/>
      <c r="B36" s="50"/>
      <c r="C36" s="50"/>
      <c r="D36" s="50"/>
      <c r="E36" s="50"/>
      <c r="F36" s="49"/>
      <c r="G36" s="49"/>
      <c r="H36" s="49"/>
      <c r="I36" s="49"/>
      <c r="J36" s="49"/>
      <c r="K36" s="49"/>
    </row>
    <row r="37" spans="1:11" ht="15.75" customHeight="1" x14ac:dyDescent="0.25">
      <c r="A37" s="49"/>
      <c r="B37" s="195" t="s">
        <v>549</v>
      </c>
      <c r="C37" s="50"/>
      <c r="D37" s="50"/>
      <c r="E37" s="50"/>
      <c r="F37" s="49"/>
      <c r="G37" s="49"/>
      <c r="H37" s="49"/>
      <c r="I37" s="49"/>
      <c r="J37" s="49"/>
      <c r="K37" s="49"/>
    </row>
    <row r="38" spans="1:11" ht="51" customHeight="1" x14ac:dyDescent="0.25">
      <c r="A38" s="49"/>
      <c r="B38" s="2274"/>
      <c r="C38" s="2275"/>
      <c r="D38" s="2275"/>
      <c r="E38" s="2275"/>
      <c r="F38" s="2275"/>
      <c r="G38" s="2275"/>
      <c r="H38" s="2275"/>
      <c r="I38" s="2275"/>
      <c r="J38" s="49"/>
      <c r="K38" s="49"/>
    </row>
    <row r="39" spans="1:11" ht="18" customHeight="1" x14ac:dyDescent="0.25">
      <c r="A39" s="49"/>
      <c r="B39" s="50"/>
      <c r="C39" s="50"/>
      <c r="D39" s="50"/>
      <c r="E39" s="50"/>
      <c r="F39" s="49"/>
      <c r="G39" s="49"/>
      <c r="H39" s="49"/>
      <c r="I39" s="49"/>
      <c r="J39" s="49"/>
      <c r="K39" s="49"/>
    </row>
    <row r="40" spans="1:11" ht="18" customHeight="1" x14ac:dyDescent="0.25">
      <c r="A40" s="49"/>
      <c r="B40" s="2271" t="s">
        <v>251</v>
      </c>
      <c r="C40" s="2271"/>
      <c r="D40" s="257" t="str">
        <f>IF(AND(C25&lt;&gt;"",C26&lt;&gt;"",COUNTIF(B30:C35,"&gt;&lt;")&gt;=2,B38&lt;&gt;""),"Yes","No")</f>
        <v>No</v>
      </c>
      <c r="E40" s="49"/>
      <c r="F40" s="49"/>
      <c r="G40" s="49"/>
      <c r="H40" s="49"/>
      <c r="I40" s="49"/>
      <c r="J40" s="49"/>
      <c r="K40" s="49"/>
    </row>
    <row r="41" spans="1:11" ht="18.75" customHeight="1" x14ac:dyDescent="0.25">
      <c r="A41" s="49"/>
      <c r="B41" s="50"/>
      <c r="C41" s="50"/>
      <c r="D41" s="50"/>
      <c r="E41" s="49"/>
      <c r="F41" s="49"/>
      <c r="G41" s="49"/>
      <c r="H41" s="49"/>
      <c r="I41" s="49"/>
      <c r="J41" s="49"/>
      <c r="K41" s="49"/>
    </row>
    <row r="42" spans="1:11" ht="18" customHeight="1" x14ac:dyDescent="0.25">
      <c r="A42" s="2278" t="s">
        <v>186</v>
      </c>
      <c r="B42" s="2278"/>
      <c r="C42" s="2278"/>
      <c r="D42" s="2278"/>
      <c r="E42" s="2278"/>
      <c r="F42" s="2278"/>
      <c r="G42" s="2278"/>
      <c r="H42" s="2278"/>
      <c r="I42" s="2278"/>
      <c r="J42" s="2278"/>
      <c r="K42" s="2278"/>
    </row>
    <row r="43" spans="1:11" x14ac:dyDescent="0.25">
      <c r="A43" s="49"/>
      <c r="B43" s="50"/>
      <c r="C43" s="50"/>
      <c r="D43" s="50"/>
      <c r="E43" s="49"/>
      <c r="F43" s="49"/>
      <c r="G43" s="49"/>
      <c r="H43" s="49"/>
      <c r="I43" s="49"/>
      <c r="J43" s="49"/>
      <c r="K43" s="49"/>
    </row>
    <row r="44" spans="1:11" ht="18" customHeight="1" x14ac:dyDescent="0.25">
      <c r="A44" s="49"/>
      <c r="B44" s="2280" t="s">
        <v>1739</v>
      </c>
      <c r="C44" s="2281"/>
      <c r="D44" s="2281"/>
      <c r="E44" s="2281"/>
      <c r="F44" s="2281"/>
      <c r="G44" s="1112" t="s">
        <v>1737</v>
      </c>
      <c r="H44" s="2282" t="s">
        <v>1738</v>
      </c>
      <c r="I44" s="2283"/>
      <c r="J44" s="49"/>
      <c r="K44" s="49"/>
    </row>
    <row r="45" spans="1:11" ht="24" customHeight="1" x14ac:dyDescent="0.25">
      <c r="A45" s="49"/>
      <c r="B45" s="2231" t="s">
        <v>1043</v>
      </c>
      <c r="C45" s="2232"/>
      <c r="D45" s="2232"/>
      <c r="E45" s="2232"/>
      <c r="F45" s="2233"/>
      <c r="G45" s="471" t="s">
        <v>124</v>
      </c>
      <c r="H45" s="1931"/>
      <c r="I45" s="1932"/>
      <c r="J45" s="49"/>
      <c r="K45" s="49"/>
    </row>
    <row r="46" spans="1:11" ht="24" customHeight="1" x14ac:dyDescent="0.25">
      <c r="A46" s="49"/>
      <c r="B46" s="2231" t="s">
        <v>1044</v>
      </c>
      <c r="C46" s="2232"/>
      <c r="D46" s="2232"/>
      <c r="E46" s="2232"/>
      <c r="F46" s="2233"/>
      <c r="G46" s="471" t="s">
        <v>124</v>
      </c>
      <c r="H46" s="1931"/>
      <c r="I46" s="1932"/>
      <c r="J46" s="49"/>
      <c r="K46" s="49"/>
    </row>
    <row r="47" spans="1:11" ht="19.5" customHeight="1" x14ac:dyDescent="0.25">
      <c r="A47" s="49"/>
      <c r="B47" s="50"/>
      <c r="C47" s="50"/>
      <c r="D47" s="50"/>
      <c r="E47" s="49"/>
      <c r="F47" s="49"/>
      <c r="G47" s="49"/>
      <c r="H47" s="49"/>
      <c r="I47" s="49"/>
      <c r="J47" s="49"/>
      <c r="K47" s="49"/>
    </row>
    <row r="48" spans="1:11" ht="18" customHeight="1" x14ac:dyDescent="0.25">
      <c r="A48" s="2278" t="s">
        <v>22</v>
      </c>
      <c r="B48" s="2278"/>
      <c r="C48" s="2278"/>
      <c r="D48" s="2278"/>
      <c r="E48" s="2278"/>
      <c r="F48" s="2278"/>
      <c r="G48" s="2278"/>
      <c r="H48" s="2278"/>
      <c r="I48" s="2278"/>
      <c r="J48" s="2278"/>
      <c r="K48" s="2278"/>
    </row>
    <row r="49" spans="1:11" ht="16.5" customHeight="1" x14ac:dyDescent="0.25">
      <c r="A49" s="49"/>
      <c r="B49" s="50"/>
      <c r="C49" s="50"/>
      <c r="D49" s="50"/>
      <c r="E49" s="50"/>
      <c r="F49" s="49"/>
      <c r="G49" s="49"/>
      <c r="H49" s="49"/>
      <c r="I49" s="49"/>
      <c r="J49" s="49"/>
      <c r="K49" s="49"/>
    </row>
    <row r="50" spans="1:11" ht="18" customHeight="1" x14ac:dyDescent="0.25">
      <c r="A50" s="49"/>
      <c r="B50" s="256" t="s">
        <v>53</v>
      </c>
      <c r="C50" s="10">
        <f>IF(D40="Yes",1,0)</f>
        <v>0</v>
      </c>
      <c r="D50" s="50"/>
      <c r="E50" s="49"/>
      <c r="F50" s="49"/>
      <c r="G50" s="49"/>
      <c r="H50" s="49"/>
      <c r="I50" s="49"/>
      <c r="J50" s="49"/>
      <c r="K50" s="49"/>
    </row>
    <row r="51" spans="1:11" ht="18" customHeight="1" x14ac:dyDescent="0.25">
      <c r="A51" s="49"/>
      <c r="B51" s="256" t="s">
        <v>492</v>
      </c>
      <c r="C51" s="181" t="str">
        <f>IF(AND(COUNTIF(G45:G46,"Submitted")=2,C50&gt;0),"Yes","No")</f>
        <v>No</v>
      </c>
      <c r="D51" s="50"/>
      <c r="E51" s="50"/>
      <c r="F51" s="49"/>
      <c r="G51" s="49"/>
      <c r="H51" s="49"/>
      <c r="I51" s="49"/>
      <c r="J51" s="49"/>
      <c r="K51" s="49"/>
    </row>
    <row r="52" spans="1:11" ht="19.5" customHeight="1" x14ac:dyDescent="0.25">
      <c r="A52" s="49"/>
      <c r="B52" s="50"/>
      <c r="C52" s="50"/>
      <c r="D52" s="50"/>
      <c r="E52" s="50"/>
      <c r="F52" s="49"/>
      <c r="G52" s="49"/>
      <c r="H52" s="49"/>
      <c r="I52" s="49"/>
      <c r="J52" s="49"/>
      <c r="K52" s="49"/>
    </row>
    <row r="53" spans="1:11" hidden="1" x14ac:dyDescent="0.25">
      <c r="J53" s="49"/>
      <c r="K53" s="49"/>
    </row>
    <row r="54" spans="1:11" hidden="1" x14ac:dyDescent="0.25">
      <c r="J54" s="49"/>
      <c r="K54" s="49"/>
    </row>
    <row r="55" spans="1:11" hidden="1" x14ac:dyDescent="0.25">
      <c r="J55" s="49"/>
      <c r="K55" s="49"/>
    </row>
    <row r="56" spans="1:11" ht="15" hidden="1" customHeight="1" x14ac:dyDescent="0.25"/>
    <row r="57" spans="1:11" ht="15" hidden="1" customHeight="1" x14ac:dyDescent="0.25"/>
    <row r="58" spans="1:11" ht="15" hidden="1" customHeight="1" x14ac:dyDescent="0.25"/>
    <row r="59" spans="1:11" ht="15" hidden="1" customHeight="1" x14ac:dyDescent="0.25"/>
    <row r="60" spans="1:11" ht="15" hidden="1" customHeight="1" x14ac:dyDescent="0.25"/>
    <row r="61" spans="1:11" ht="15" hidden="1" customHeight="1" x14ac:dyDescent="0.25"/>
    <row r="62" spans="1:11" ht="15" hidden="1" customHeight="1" x14ac:dyDescent="0.25"/>
    <row r="63" spans="1:11" ht="15" hidden="1" customHeight="1" x14ac:dyDescent="0.25"/>
    <row r="64" spans="1:11"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sheetData>
  <sheetProtection algorithmName="SHA-512" hashValue="4/PpDGnVhQ9Hw6eAjaP9gqI1TQeVXBzoA5i24V/eVN2kL1XhIXCFCqt7C/ppChH/7pi1nGZdWCAnjdiEhWrnjQ==" saltValue="hrATD/TzLQ7NJ/tu8yQv+g==" spinCount="100000" sheet="1" objects="1" scenarios="1"/>
  <mergeCells count="34">
    <mergeCell ref="A1:K1"/>
    <mergeCell ref="A14:K14"/>
    <mergeCell ref="A9:K9"/>
    <mergeCell ref="A5:K7"/>
    <mergeCell ref="H2:I4"/>
    <mergeCell ref="B11:E11"/>
    <mergeCell ref="A48:K48"/>
    <mergeCell ref="A42:K42"/>
    <mergeCell ref="B18:I20"/>
    <mergeCell ref="B30:C30"/>
    <mergeCell ref="B31:C31"/>
    <mergeCell ref="B34:C34"/>
    <mergeCell ref="B35:C35"/>
    <mergeCell ref="D35:E35"/>
    <mergeCell ref="D29:E29"/>
    <mergeCell ref="D30:E30"/>
    <mergeCell ref="D31:E31"/>
    <mergeCell ref="D34:E34"/>
    <mergeCell ref="H45:I45"/>
    <mergeCell ref="H46:I46"/>
    <mergeCell ref="B44:F44"/>
    <mergeCell ref="H44:I44"/>
    <mergeCell ref="B45:F45"/>
    <mergeCell ref="B46:F46"/>
    <mergeCell ref="B12:E12"/>
    <mergeCell ref="B40:C40"/>
    <mergeCell ref="C25:D25"/>
    <mergeCell ref="C26:D26"/>
    <mergeCell ref="B32:C32"/>
    <mergeCell ref="D32:E32"/>
    <mergeCell ref="B33:C33"/>
    <mergeCell ref="D33:E33"/>
    <mergeCell ref="B38:I38"/>
    <mergeCell ref="B29:C29"/>
  </mergeCells>
  <conditionalFormatting sqref="G45:G46">
    <cfRule type="expression" dxfId="44" priority="4">
      <formula>#REF!&lt;&gt;"Prescriptive Path"</formula>
    </cfRule>
  </conditionalFormatting>
  <conditionalFormatting sqref="H45">
    <cfRule type="expression" dxfId="43" priority="3">
      <formula>#REF!&lt;&gt;"Prescriptive Path"</formula>
    </cfRule>
  </conditionalFormatting>
  <conditionalFormatting sqref="H46">
    <cfRule type="expression" dxfId="42" priority="2">
      <formula>#REF!&lt;&gt;"Prescriptive Path"</formula>
    </cfRule>
  </conditionalFormatting>
  <conditionalFormatting sqref="H44:I44">
    <cfRule type="expression" dxfId="41" priority="1">
      <formula>#REF!&lt;&gt;"Prescriptive Path"</formula>
    </cfRule>
  </conditionalFormatting>
  <dataValidations disablePrompts="1" count="1">
    <dataValidation type="list" allowBlank="1" showInputMessage="1" showErrorMessage="1" sqref="G45:G46" xr:uid="{00000000-0002-0000-3200-000000000000}">
      <formula1>"Submitted,Not submitted"</formula1>
    </dataValidation>
  </dataValidations>
  <hyperlinks>
    <hyperlink ref="J2" location="'CM-2 Construction Management'!B3" tooltip="CM-2" display="CM-2" xr:uid="{00000000-0004-0000-3200-000000000000}"/>
    <hyperlink ref="J3" location="'CM-3 Operational Management'!C3" tooltip="CM-3" display="CM-3" xr:uid="{00000000-0004-0000-3200-000001000000}"/>
    <hyperlink ref="K3" location="'CM BPC'!B3" tooltip="BPC" display="BPC" xr:uid="{00000000-0004-0000-3200-000002000000}"/>
    <hyperlink ref="J4" location="'CM-4 Access for PWD'!B3" tooltip="CM-4" display="CM-4" xr:uid="{00000000-0004-0000-3200-000003000000}"/>
  </hyperlinks>
  <pageMargins left="0.7" right="0.7" top="0.75" bottom="0.75" header="0.3" footer="0.3"/>
  <pageSetup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tabColor rgb="FF984806"/>
  </sheetPr>
  <dimension ref="A1:N197"/>
  <sheetViews>
    <sheetView showRowColHeaders="0" workbookViewId="0">
      <pane ySplit="8" topLeftCell="A9" activePane="bottomLeft" state="frozen"/>
      <selection activeCell="E21" sqref="E21"/>
      <selection pane="bottomLeft" activeCell="K3" sqref="K3"/>
    </sheetView>
  </sheetViews>
  <sheetFormatPr defaultColWidth="0" defaultRowHeight="15" customHeight="1" zeroHeight="1" x14ac:dyDescent="0.25"/>
  <cols>
    <col min="1" max="1" width="5.7109375" style="38" customWidth="1"/>
    <col min="2" max="2" width="18.42578125" style="38" customWidth="1"/>
    <col min="3" max="3" width="16.85546875" style="38" customWidth="1"/>
    <col min="4" max="6" width="18.42578125" style="38" customWidth="1"/>
    <col min="7" max="7" width="18.28515625" style="38" customWidth="1"/>
    <col min="8" max="8" width="21.7109375" style="38" customWidth="1"/>
    <col min="9" max="9" width="14.7109375" style="38" customWidth="1"/>
    <col min="10" max="11" width="8.42578125" style="38" customWidth="1"/>
    <col min="12" max="12" width="8.7109375" style="38" customWidth="1"/>
    <col min="13" max="16384" width="9.140625" style="38" hidden="1"/>
  </cols>
  <sheetData>
    <row r="1" spans="1:13" ht="25.5" customHeight="1" x14ac:dyDescent="0.25">
      <c r="A1" s="2284" t="s">
        <v>136</v>
      </c>
      <c r="B1" s="2284"/>
      <c r="C1" s="2284"/>
      <c r="D1" s="2284"/>
      <c r="E1" s="2284"/>
      <c r="F1" s="2284"/>
      <c r="G1" s="2284"/>
      <c r="H1" s="2284"/>
      <c r="I1" s="2284"/>
      <c r="J1" s="2284"/>
      <c r="K1" s="2284"/>
      <c r="L1" s="2284"/>
    </row>
    <row r="2" spans="1:13" ht="15" customHeight="1" x14ac:dyDescent="0.25">
      <c r="A2" s="49"/>
      <c r="B2" s="50"/>
      <c r="C2" s="50"/>
      <c r="D2" s="50"/>
      <c r="E2" s="50"/>
      <c r="F2" s="49"/>
      <c r="G2" s="49"/>
      <c r="H2" s="49"/>
      <c r="I2" s="1585" t="s">
        <v>1762</v>
      </c>
      <c r="J2" s="1585"/>
      <c r="K2" s="743" t="s">
        <v>139</v>
      </c>
      <c r="L2" s="743"/>
    </row>
    <row r="3" spans="1:13" ht="15" customHeight="1" x14ac:dyDescent="0.25">
      <c r="A3" s="49"/>
      <c r="B3" s="50"/>
      <c r="C3" s="50"/>
      <c r="D3" s="50"/>
      <c r="E3" s="50"/>
      <c r="F3" s="49"/>
      <c r="G3" s="49"/>
      <c r="H3" s="49"/>
      <c r="I3" s="1585"/>
      <c r="J3" s="1585"/>
      <c r="K3" s="743" t="s">
        <v>141</v>
      </c>
      <c r="L3" s="743" t="s">
        <v>76</v>
      </c>
    </row>
    <row r="4" spans="1:13" ht="15" customHeight="1" x14ac:dyDescent="0.25">
      <c r="A4" s="49"/>
      <c r="B4" s="50"/>
      <c r="C4" s="50"/>
      <c r="D4" s="50"/>
      <c r="E4" s="50"/>
      <c r="F4" s="49"/>
      <c r="G4" s="49"/>
      <c r="H4" s="49"/>
      <c r="I4" s="1822"/>
      <c r="J4" s="1822"/>
      <c r="K4" s="743" t="s">
        <v>1813</v>
      </c>
      <c r="L4" s="743"/>
    </row>
    <row r="5" spans="1:13" ht="20.25" customHeight="1" x14ac:dyDescent="0.25">
      <c r="A5" s="1823" t="s">
        <v>2663</v>
      </c>
      <c r="B5" s="1824"/>
      <c r="C5" s="1824"/>
      <c r="D5" s="1824"/>
      <c r="E5" s="1824"/>
      <c r="F5" s="1824"/>
      <c r="G5" s="1824"/>
      <c r="H5" s="1824"/>
      <c r="I5" s="1824"/>
      <c r="J5" s="1824"/>
      <c r="K5" s="1824"/>
      <c r="L5" s="1825"/>
    </row>
    <row r="6" spans="1:13" ht="20.25" customHeight="1" x14ac:dyDescent="0.25">
      <c r="A6" s="1826"/>
      <c r="B6" s="1604"/>
      <c r="C6" s="1604"/>
      <c r="D6" s="1604"/>
      <c r="E6" s="1604"/>
      <c r="F6" s="1604"/>
      <c r="G6" s="1604"/>
      <c r="H6" s="1604"/>
      <c r="I6" s="1604"/>
      <c r="J6" s="1604"/>
      <c r="K6" s="1604"/>
      <c r="L6" s="1827"/>
    </row>
    <row r="7" spans="1:13" ht="20.25" customHeight="1" x14ac:dyDescent="0.25">
      <c r="A7" s="1828"/>
      <c r="B7" s="1829"/>
      <c r="C7" s="1829"/>
      <c r="D7" s="1829"/>
      <c r="E7" s="1829"/>
      <c r="F7" s="1829"/>
      <c r="G7" s="1829"/>
      <c r="H7" s="1829"/>
      <c r="I7" s="1829"/>
      <c r="J7" s="1829"/>
      <c r="K7" s="1829"/>
      <c r="L7" s="1830"/>
    </row>
    <row r="8" spans="1:13" ht="12" customHeight="1" x14ac:dyDescent="0.25">
      <c r="A8" s="49"/>
      <c r="B8" s="50"/>
      <c r="C8" s="50"/>
      <c r="D8" s="50"/>
      <c r="E8" s="50"/>
      <c r="F8" s="49"/>
      <c r="G8" s="49"/>
      <c r="H8" s="49"/>
      <c r="I8" s="49"/>
      <c r="J8" s="49"/>
      <c r="K8" s="49"/>
      <c r="L8" s="49"/>
    </row>
    <row r="9" spans="1:13" ht="18" customHeight="1" x14ac:dyDescent="0.25">
      <c r="A9" s="2278" t="s">
        <v>177</v>
      </c>
      <c r="B9" s="2278"/>
      <c r="C9" s="2278"/>
      <c r="D9" s="2278"/>
      <c r="E9" s="2278"/>
      <c r="F9" s="2278"/>
      <c r="G9" s="2278"/>
      <c r="H9" s="2278"/>
      <c r="I9" s="2278"/>
      <c r="J9" s="2278"/>
      <c r="K9" s="2278"/>
      <c r="L9" s="2278"/>
    </row>
    <row r="10" spans="1:13" ht="16.5" customHeight="1" x14ac:dyDescent="0.25">
      <c r="A10" s="49"/>
      <c r="B10" s="50"/>
      <c r="C10" s="50"/>
      <c r="D10" s="50"/>
      <c r="E10" s="50"/>
      <c r="F10" s="49"/>
      <c r="G10" s="49"/>
      <c r="H10" s="49"/>
      <c r="I10" s="49"/>
      <c r="J10" s="49"/>
      <c r="K10" s="49"/>
      <c r="L10" s="49"/>
    </row>
    <row r="11" spans="1:13" ht="19.5" customHeight="1" x14ac:dyDescent="0.25">
      <c r="A11" s="49"/>
      <c r="B11" s="2298" t="s">
        <v>178</v>
      </c>
      <c r="C11" s="2299"/>
      <c r="D11" s="2299"/>
      <c r="E11" s="2299"/>
      <c r="F11" s="564" t="s">
        <v>152</v>
      </c>
      <c r="G11" s="564" t="s">
        <v>53</v>
      </c>
      <c r="H11" s="60" t="s">
        <v>492</v>
      </c>
      <c r="I11" s="49"/>
      <c r="J11" s="49"/>
      <c r="K11" s="49"/>
      <c r="L11" s="49"/>
    </row>
    <row r="12" spans="1:13" ht="27" customHeight="1" x14ac:dyDescent="0.25">
      <c r="A12" s="49"/>
      <c r="B12" s="1819" t="s">
        <v>252</v>
      </c>
      <c r="C12" s="2300"/>
      <c r="D12" s="2300"/>
      <c r="E12" s="2301"/>
      <c r="F12" s="299">
        <v>1</v>
      </c>
      <c r="G12" s="299">
        <f>C47</f>
        <v>0</v>
      </c>
      <c r="H12" s="299" t="str">
        <f>C48</f>
        <v>No</v>
      </c>
      <c r="I12" s="49"/>
      <c r="J12" s="49"/>
      <c r="K12" s="49"/>
      <c r="L12" s="49"/>
      <c r="M12" s="38" t="str">
        <f>IF(G12&lt;&gt;0,IF(H12="No","No","Yes"),"Yes")</f>
        <v>Yes</v>
      </c>
    </row>
    <row r="13" spans="1:13" ht="27" customHeight="1" x14ac:dyDescent="0.25">
      <c r="A13" s="49"/>
      <c r="B13" s="1819" t="s">
        <v>253</v>
      </c>
      <c r="C13" s="2300" t="s">
        <v>143</v>
      </c>
      <c r="D13" s="2300" t="s">
        <v>143</v>
      </c>
      <c r="E13" s="2301" t="s">
        <v>143</v>
      </c>
      <c r="F13" s="299">
        <v>1</v>
      </c>
      <c r="G13" s="299">
        <f>C83</f>
        <v>0</v>
      </c>
      <c r="H13" s="299" t="str">
        <f>C84</f>
        <v>No</v>
      </c>
      <c r="I13" s="49"/>
      <c r="J13" s="49"/>
      <c r="K13" s="49"/>
      <c r="L13" s="49"/>
      <c r="M13" s="38" t="str">
        <f t="shared" ref="M13:M16" si="0">IF(G13&lt;&gt;0,IF(H13="No","No","Yes"),"Yes")</f>
        <v>Yes</v>
      </c>
    </row>
    <row r="14" spans="1:13" ht="27" customHeight="1" x14ac:dyDescent="0.25">
      <c r="A14" s="49"/>
      <c r="B14" s="1819" t="s">
        <v>256</v>
      </c>
      <c r="C14" s="2300" t="s">
        <v>144</v>
      </c>
      <c r="D14" s="2300" t="s">
        <v>144</v>
      </c>
      <c r="E14" s="2301" t="s">
        <v>144</v>
      </c>
      <c r="F14" s="299">
        <v>1</v>
      </c>
      <c r="G14" s="299">
        <f>C115</f>
        <v>0</v>
      </c>
      <c r="H14" s="299" t="str">
        <f>C116</f>
        <v>No</v>
      </c>
      <c r="I14" s="49"/>
      <c r="J14" s="49"/>
      <c r="K14" s="49"/>
      <c r="L14" s="49"/>
      <c r="M14" s="38" t="str">
        <f t="shared" si="0"/>
        <v>Yes</v>
      </c>
    </row>
    <row r="15" spans="1:13" ht="37.5" customHeight="1" x14ac:dyDescent="0.25">
      <c r="A15" s="49"/>
      <c r="B15" s="1819" t="s">
        <v>254</v>
      </c>
      <c r="C15" s="2300" t="s">
        <v>157</v>
      </c>
      <c r="D15" s="2300" t="s">
        <v>157</v>
      </c>
      <c r="E15" s="2301" t="s">
        <v>157</v>
      </c>
      <c r="F15" s="299">
        <v>1</v>
      </c>
      <c r="G15" s="299">
        <f>C139</f>
        <v>0</v>
      </c>
      <c r="H15" s="299" t="str">
        <f>C140</f>
        <v>No</v>
      </c>
      <c r="I15" s="49"/>
      <c r="J15" s="49"/>
      <c r="K15" s="49"/>
      <c r="L15" s="49"/>
      <c r="M15" s="38" t="str">
        <f t="shared" si="0"/>
        <v>Yes</v>
      </c>
    </row>
    <row r="16" spans="1:13" ht="27" customHeight="1" x14ac:dyDescent="0.25">
      <c r="A16" s="49"/>
      <c r="B16" s="1819" t="s">
        <v>255</v>
      </c>
      <c r="C16" s="2300" t="s">
        <v>145</v>
      </c>
      <c r="D16" s="2300" t="s">
        <v>145</v>
      </c>
      <c r="E16" s="2301" t="s">
        <v>145</v>
      </c>
      <c r="F16" s="299">
        <v>1</v>
      </c>
      <c r="G16" s="299">
        <f>C166</f>
        <v>0</v>
      </c>
      <c r="H16" s="299" t="str">
        <f>C167</f>
        <v>No</v>
      </c>
      <c r="I16" s="49"/>
      <c r="J16" s="49"/>
      <c r="K16" s="49"/>
      <c r="L16" s="49"/>
      <c r="M16" s="38" t="str">
        <f t="shared" si="0"/>
        <v>Yes</v>
      </c>
    </row>
    <row r="17" spans="1:12" ht="19.5" customHeight="1" x14ac:dyDescent="0.25">
      <c r="A17" s="49"/>
      <c r="B17" s="1613" t="s">
        <v>79</v>
      </c>
      <c r="C17" s="1748"/>
      <c r="D17" s="1748"/>
      <c r="E17" s="1749"/>
      <c r="F17" s="631">
        <v>3</v>
      </c>
      <c r="G17" s="631">
        <f>MIN(3,SUM(G12:G16))</f>
        <v>0</v>
      </c>
      <c r="H17" s="631" t="str">
        <f>IF(COUNTIF(H12:H16,"No")=5,"No",IF(COUNTIF(M12:M16,"Yes")=5,"Yes","No"))</f>
        <v>No</v>
      </c>
      <c r="I17" s="49"/>
      <c r="J17" s="49"/>
      <c r="K17" s="49"/>
      <c r="L17" s="49"/>
    </row>
    <row r="18" spans="1:12" ht="16.5" customHeight="1" x14ac:dyDescent="0.25">
      <c r="A18" s="49"/>
      <c r="B18" s="50"/>
      <c r="C18" s="50"/>
      <c r="D18" s="50"/>
      <c r="E18" s="50"/>
      <c r="F18" s="49"/>
      <c r="G18" s="49"/>
      <c r="H18" s="49"/>
      <c r="I18" s="49"/>
      <c r="J18" s="49"/>
      <c r="K18" s="49"/>
      <c r="L18" s="49"/>
    </row>
    <row r="19" spans="1:12" ht="18" customHeight="1" x14ac:dyDescent="0.25">
      <c r="A19" s="2278" t="s">
        <v>257</v>
      </c>
      <c r="B19" s="2278"/>
      <c r="C19" s="2278"/>
      <c r="D19" s="2278"/>
      <c r="E19" s="2278"/>
      <c r="F19" s="2278"/>
      <c r="G19" s="2278"/>
      <c r="H19" s="2278"/>
      <c r="I19" s="2278"/>
      <c r="J19" s="2278"/>
      <c r="K19" s="2278"/>
      <c r="L19" s="2278"/>
    </row>
    <row r="20" spans="1:12" x14ac:dyDescent="0.25">
      <c r="A20" s="49"/>
      <c r="B20" s="50"/>
      <c r="C20" s="50"/>
      <c r="D20" s="50"/>
      <c r="E20" s="50"/>
      <c r="F20" s="49"/>
      <c r="G20" s="49"/>
      <c r="H20" s="49"/>
      <c r="I20" s="49"/>
      <c r="J20" s="49"/>
      <c r="K20" s="49"/>
      <c r="L20" s="49"/>
    </row>
    <row r="21" spans="1:12" ht="16.5" customHeight="1" x14ac:dyDescent="0.25">
      <c r="A21" s="2287" t="s">
        <v>245</v>
      </c>
      <c r="B21" s="2287"/>
      <c r="C21" s="2287"/>
      <c r="D21" s="50"/>
      <c r="E21" s="50"/>
      <c r="F21" s="50"/>
      <c r="G21" s="50"/>
      <c r="H21" s="50"/>
      <c r="I21" s="50"/>
      <c r="J21" s="50"/>
      <c r="K21" s="50"/>
      <c r="L21" s="50"/>
    </row>
    <row r="22" spans="1:12" x14ac:dyDescent="0.25">
      <c r="A22" s="49"/>
      <c r="B22" s="50"/>
      <c r="C22" s="50"/>
      <c r="D22" s="50"/>
      <c r="E22" s="50"/>
      <c r="F22" s="49"/>
      <c r="G22" s="49"/>
      <c r="H22" s="49"/>
      <c r="I22" s="49"/>
      <c r="J22" s="49"/>
      <c r="K22" s="49"/>
      <c r="L22" s="49"/>
    </row>
    <row r="23" spans="1:12" ht="18" customHeight="1" x14ac:dyDescent="0.25">
      <c r="A23" s="49"/>
      <c r="B23" s="2311" t="s">
        <v>1967</v>
      </c>
      <c r="C23" s="2312"/>
      <c r="D23" s="2312"/>
      <c r="E23" s="2312"/>
      <c r="F23" s="2312"/>
      <c r="G23" s="2312"/>
      <c r="H23" s="2312"/>
      <c r="I23" s="2313"/>
      <c r="J23" s="386"/>
      <c r="K23" s="386"/>
      <c r="L23" s="49"/>
    </row>
    <row r="24" spans="1:12" s="699" customFormat="1" ht="18" customHeight="1" x14ac:dyDescent="0.25">
      <c r="A24" s="645"/>
      <c r="B24" s="2314" t="s">
        <v>567</v>
      </c>
      <c r="C24" s="2315"/>
      <c r="D24" s="2315"/>
      <c r="E24" s="2315"/>
      <c r="F24" s="2315"/>
      <c r="G24" s="2315"/>
      <c r="H24" s="2315"/>
      <c r="I24" s="2316"/>
      <c r="J24" s="386"/>
      <c r="K24" s="386"/>
      <c r="L24" s="645"/>
    </row>
    <row r="25" spans="1:12" ht="17.25" customHeight="1" x14ac:dyDescent="0.25">
      <c r="A25" s="49"/>
      <c r="B25" s="49"/>
      <c r="C25" s="50"/>
      <c r="D25" s="50"/>
      <c r="E25" s="50"/>
      <c r="F25" s="49"/>
      <c r="G25" s="49"/>
      <c r="H25" s="49"/>
      <c r="I25" s="49"/>
      <c r="J25" s="49"/>
      <c r="K25" s="49"/>
      <c r="L25" s="49"/>
    </row>
    <row r="26" spans="1:12" hidden="1" x14ac:dyDescent="0.25">
      <c r="A26" s="49"/>
      <c r="B26" s="50" t="s">
        <v>564</v>
      </c>
      <c r="C26" s="50"/>
      <c r="D26" s="50"/>
      <c r="E26" s="50"/>
      <c r="F26" s="49"/>
      <c r="G26" s="49"/>
      <c r="H26" s="49"/>
      <c r="I26" s="49"/>
      <c r="J26" s="49"/>
      <c r="K26" s="49"/>
      <c r="L26" s="49"/>
    </row>
    <row r="27" spans="1:12" hidden="1" x14ac:dyDescent="0.25">
      <c r="A27" s="49"/>
      <c r="B27" s="2302" t="s">
        <v>565</v>
      </c>
      <c r="C27" s="2302"/>
      <c r="D27" s="2297" t="s">
        <v>568</v>
      </c>
      <c r="E27" s="2297"/>
      <c r="F27" s="2297"/>
      <c r="G27" s="2297"/>
      <c r="H27" s="2297"/>
      <c r="I27" s="49"/>
      <c r="J27" s="49"/>
      <c r="K27" s="49"/>
      <c r="L27" s="49"/>
    </row>
    <row r="28" spans="1:12" hidden="1" x14ac:dyDescent="0.25">
      <c r="A28" s="49"/>
      <c r="B28" s="2302" t="s">
        <v>258</v>
      </c>
      <c r="C28" s="2302"/>
      <c r="D28" s="2297" t="s">
        <v>568</v>
      </c>
      <c r="E28" s="2297"/>
      <c r="F28" s="2297"/>
      <c r="G28" s="2297"/>
      <c r="H28" s="2297"/>
      <c r="I28" s="49"/>
      <c r="J28" s="49"/>
      <c r="K28" s="49"/>
      <c r="L28" s="49"/>
    </row>
    <row r="29" spans="1:12" hidden="1" x14ac:dyDescent="0.25">
      <c r="A29" s="49"/>
      <c r="B29" s="50"/>
      <c r="C29" s="50"/>
      <c r="D29" s="50"/>
      <c r="E29" s="50"/>
      <c r="F29" s="49"/>
      <c r="G29" s="49"/>
      <c r="H29" s="49"/>
      <c r="I29" s="49"/>
      <c r="J29" s="49"/>
      <c r="K29" s="49"/>
      <c r="L29" s="49"/>
    </row>
    <row r="30" spans="1:12" x14ac:dyDescent="0.25">
      <c r="A30" s="49"/>
      <c r="B30" s="642" t="s">
        <v>1416</v>
      </c>
      <c r="C30" s="50"/>
      <c r="D30" s="50"/>
      <c r="E30" s="50"/>
      <c r="F30" s="49"/>
      <c r="G30" s="49"/>
      <c r="H30" s="49"/>
      <c r="I30" s="49"/>
      <c r="J30" s="49"/>
      <c r="K30" s="49"/>
      <c r="L30" s="49"/>
    </row>
    <row r="31" spans="1:12" ht="9" customHeight="1" x14ac:dyDescent="0.25">
      <c r="A31" s="49"/>
      <c r="B31" s="50"/>
      <c r="C31" s="50"/>
      <c r="D31" s="50"/>
      <c r="E31" s="50"/>
      <c r="F31" s="49"/>
      <c r="G31" s="49"/>
      <c r="H31" s="49"/>
      <c r="I31" s="49"/>
      <c r="J31" s="49"/>
      <c r="K31" s="49"/>
      <c r="L31" s="49"/>
    </row>
    <row r="32" spans="1:12" x14ac:dyDescent="0.25">
      <c r="A32" s="49"/>
      <c r="B32" s="50"/>
      <c r="C32" s="50"/>
      <c r="D32" s="50"/>
      <c r="E32" s="50"/>
      <c r="F32" s="49"/>
      <c r="G32" s="49"/>
      <c r="H32" s="49"/>
      <c r="I32" s="49"/>
      <c r="J32" s="49"/>
      <c r="K32" s="49"/>
      <c r="L32" s="49"/>
    </row>
    <row r="33" spans="1:12" ht="30" customHeight="1" x14ac:dyDescent="0.25">
      <c r="A33" s="49"/>
      <c r="B33" s="2320" t="s">
        <v>565</v>
      </c>
      <c r="C33" s="2320"/>
      <c r="D33" s="2304"/>
      <c r="E33" s="2304"/>
      <c r="F33" s="2304"/>
      <c r="G33" s="2304"/>
      <c r="H33" s="2304"/>
      <c r="I33" s="49"/>
      <c r="J33" s="49"/>
      <c r="K33" s="49"/>
      <c r="L33" s="49"/>
    </row>
    <row r="34" spans="1:12" ht="39" customHeight="1" x14ac:dyDescent="0.25">
      <c r="A34" s="49"/>
      <c r="B34" s="2320" t="s">
        <v>1562</v>
      </c>
      <c r="C34" s="2320"/>
      <c r="D34" s="2304"/>
      <c r="E34" s="2304"/>
      <c r="F34" s="2304"/>
      <c r="G34" s="2304"/>
      <c r="H34" s="2304"/>
      <c r="I34" s="49"/>
      <c r="J34" s="49"/>
      <c r="K34" s="49"/>
      <c r="L34" s="49"/>
    </row>
    <row r="35" spans="1:12" ht="39" customHeight="1" x14ac:dyDescent="0.25">
      <c r="A35" s="49"/>
      <c r="B35" s="2305" t="s">
        <v>1563</v>
      </c>
      <c r="C35" s="2305"/>
      <c r="D35" s="2304"/>
      <c r="E35" s="2304"/>
      <c r="F35" s="2304"/>
      <c r="G35" s="2304"/>
      <c r="H35" s="2304"/>
      <c r="I35" s="49"/>
      <c r="J35" s="49"/>
      <c r="K35" s="49"/>
      <c r="L35" s="49"/>
    </row>
    <row r="36" spans="1:12" ht="13.5" customHeight="1" x14ac:dyDescent="0.25">
      <c r="A36" s="49"/>
      <c r="B36" s="50"/>
      <c r="C36" s="50"/>
      <c r="D36" s="50"/>
      <c r="E36" s="50"/>
      <c r="F36" s="49"/>
      <c r="G36" s="49"/>
      <c r="H36" s="49"/>
      <c r="I36" s="49"/>
      <c r="J36" s="49"/>
      <c r="K36" s="49"/>
      <c r="L36" s="49"/>
    </row>
    <row r="37" spans="1:12" ht="13.5" customHeight="1" x14ac:dyDescent="0.25">
      <c r="A37" s="49"/>
      <c r="B37" s="50"/>
      <c r="C37" s="50"/>
      <c r="D37" s="50"/>
      <c r="E37" s="49"/>
      <c r="F37" s="49"/>
      <c r="G37" s="49"/>
      <c r="H37" s="49"/>
      <c r="I37" s="49"/>
      <c r="J37" s="49"/>
      <c r="K37" s="49"/>
      <c r="L37" s="49"/>
    </row>
    <row r="38" spans="1:12" ht="29.25" customHeight="1" x14ac:dyDescent="0.25">
      <c r="A38" s="49"/>
      <c r="B38" s="2303" t="s">
        <v>566</v>
      </c>
      <c r="C38" s="2303"/>
      <c r="D38" s="2303"/>
      <c r="E38" s="257" t="str">
        <f>IF(AND(D27&lt;&gt;"",D28&lt;&gt;"",D33&lt;&gt;"",D34&lt;&gt;"",D35&lt;&gt;""),"Yes","No")</f>
        <v>No</v>
      </c>
      <c r="F38" s="49"/>
      <c r="G38" s="49"/>
      <c r="H38" s="49"/>
      <c r="I38" s="49"/>
      <c r="J38" s="49"/>
      <c r="K38" s="49"/>
      <c r="L38" s="49"/>
    </row>
    <row r="39" spans="1:12" ht="19.5" customHeight="1" x14ac:dyDescent="0.25">
      <c r="A39" s="49"/>
      <c r="B39" s="50"/>
      <c r="C39" s="50"/>
      <c r="D39" s="50"/>
      <c r="E39" s="49"/>
      <c r="F39" s="49"/>
      <c r="G39" s="49"/>
      <c r="H39" s="49"/>
      <c r="I39" s="49"/>
      <c r="J39" s="49"/>
      <c r="K39" s="49"/>
      <c r="L39" s="49"/>
    </row>
    <row r="40" spans="1:12" ht="16.5" customHeight="1" x14ac:dyDescent="0.25">
      <c r="A40" s="2287" t="s">
        <v>186</v>
      </c>
      <c r="B40" s="2287"/>
      <c r="C40" s="2287"/>
      <c r="D40" s="50"/>
      <c r="E40" s="50"/>
      <c r="F40" s="50"/>
      <c r="G40" s="50"/>
      <c r="H40" s="50"/>
      <c r="I40" s="50"/>
      <c r="J40" s="50"/>
      <c r="K40" s="50"/>
      <c r="L40" s="50"/>
    </row>
    <row r="41" spans="1:12" ht="14.25" customHeight="1" x14ac:dyDescent="0.25">
      <c r="A41" s="49"/>
      <c r="B41" s="50"/>
      <c r="C41" s="50"/>
      <c r="D41" s="50"/>
      <c r="E41" s="49"/>
      <c r="F41" s="49"/>
      <c r="G41" s="49"/>
      <c r="H41" s="49"/>
      <c r="I41" s="49"/>
      <c r="J41" s="49"/>
      <c r="K41" s="49"/>
      <c r="L41" s="49"/>
    </row>
    <row r="42" spans="1:12" ht="18" customHeight="1" x14ac:dyDescent="0.25">
      <c r="A42" s="49"/>
      <c r="B42" s="2280" t="s">
        <v>1739</v>
      </c>
      <c r="C42" s="2281"/>
      <c r="D42" s="2281"/>
      <c r="E42" s="2281"/>
      <c r="F42" s="2281"/>
      <c r="G42" s="1112" t="s">
        <v>1737</v>
      </c>
      <c r="H42" s="2282" t="s">
        <v>1738</v>
      </c>
      <c r="I42" s="2283"/>
      <c r="J42" s="49"/>
      <c r="K42" s="49"/>
      <c r="L42" s="49"/>
    </row>
    <row r="43" spans="1:12" ht="24" customHeight="1" x14ac:dyDescent="0.25">
      <c r="A43" s="49"/>
      <c r="B43" s="2231" t="s">
        <v>1042</v>
      </c>
      <c r="C43" s="2232"/>
      <c r="D43" s="2232"/>
      <c r="E43" s="2232"/>
      <c r="F43" s="2233"/>
      <c r="G43" s="471" t="s">
        <v>124</v>
      </c>
      <c r="H43" s="1931"/>
      <c r="I43" s="1932"/>
      <c r="J43" s="49"/>
      <c r="K43" s="49"/>
      <c r="L43" s="49"/>
    </row>
    <row r="44" spans="1:12" x14ac:dyDescent="0.25">
      <c r="A44" s="49"/>
      <c r="B44" s="50"/>
      <c r="C44" s="50"/>
      <c r="D44" s="50"/>
      <c r="E44" s="49"/>
      <c r="F44" s="49"/>
      <c r="G44" s="49"/>
      <c r="H44" s="49"/>
      <c r="I44" s="49"/>
      <c r="J44" s="49"/>
      <c r="K44" s="49"/>
      <c r="L44" s="49"/>
    </row>
    <row r="45" spans="1:12" ht="16.5" customHeight="1" x14ac:dyDescent="0.25">
      <c r="A45" s="2287" t="s">
        <v>22</v>
      </c>
      <c r="B45" s="2287"/>
      <c r="C45" s="2287"/>
      <c r="D45" s="50"/>
      <c r="E45" s="50"/>
      <c r="F45" s="50"/>
      <c r="G45" s="50"/>
      <c r="H45" s="50"/>
      <c r="I45" s="50"/>
      <c r="J45" s="50"/>
      <c r="K45" s="50"/>
      <c r="L45" s="50"/>
    </row>
    <row r="46" spans="1:12" x14ac:dyDescent="0.25">
      <c r="A46" s="49"/>
      <c r="B46" s="50"/>
      <c r="C46" s="50"/>
      <c r="D46" s="50"/>
      <c r="E46" s="50"/>
      <c r="F46" s="49"/>
      <c r="G46" s="49"/>
      <c r="H46" s="49"/>
      <c r="I46" s="49"/>
      <c r="J46" s="49"/>
      <c r="K46" s="49"/>
      <c r="L46" s="49"/>
    </row>
    <row r="47" spans="1:12" ht="18" customHeight="1" x14ac:dyDescent="0.25">
      <c r="A47" s="49"/>
      <c r="B47" s="276" t="s">
        <v>53</v>
      </c>
      <c r="C47" s="10">
        <f>IF(E38="Yes",1,0)</f>
        <v>0</v>
      </c>
      <c r="D47" s="50"/>
      <c r="E47" s="49"/>
      <c r="F47" s="49"/>
      <c r="G47" s="49"/>
      <c r="H47" s="49"/>
      <c r="I47" s="49"/>
      <c r="J47" s="49"/>
      <c r="K47" s="49"/>
      <c r="L47" s="49"/>
    </row>
    <row r="48" spans="1:12" ht="18" customHeight="1" x14ac:dyDescent="0.25">
      <c r="A48" s="49"/>
      <c r="B48" s="276" t="s">
        <v>492</v>
      </c>
      <c r="C48" s="10" t="str">
        <f>IF(AND(G43="Submitted",C47&gt;0),"Yes","No")</f>
        <v>No</v>
      </c>
      <c r="D48" s="50"/>
      <c r="E48" s="50"/>
      <c r="F48" s="49"/>
      <c r="G48" s="49"/>
      <c r="H48" s="49"/>
      <c r="I48" s="49"/>
      <c r="J48" s="49"/>
      <c r="K48" s="49"/>
      <c r="L48" s="49"/>
    </row>
    <row r="49" spans="1:12" ht="21" customHeight="1" x14ac:dyDescent="0.25">
      <c r="A49" s="49"/>
      <c r="B49" s="50"/>
      <c r="C49" s="50"/>
      <c r="D49" s="50"/>
      <c r="E49" s="50"/>
      <c r="F49" s="49"/>
      <c r="G49" s="49"/>
      <c r="H49" s="49"/>
      <c r="I49" s="49"/>
      <c r="J49" s="49"/>
      <c r="K49" s="49"/>
      <c r="L49" s="49"/>
    </row>
    <row r="50" spans="1:12" ht="18" customHeight="1" x14ac:dyDescent="0.25">
      <c r="A50" s="2278" t="s">
        <v>259</v>
      </c>
      <c r="B50" s="2278"/>
      <c r="C50" s="2278"/>
      <c r="D50" s="2278"/>
      <c r="E50" s="2278"/>
      <c r="F50" s="2278"/>
      <c r="G50" s="2278"/>
      <c r="H50" s="2278"/>
      <c r="I50" s="2278"/>
      <c r="J50" s="2278"/>
      <c r="K50" s="2278"/>
      <c r="L50" s="2278"/>
    </row>
    <row r="51" spans="1:12" x14ac:dyDescent="0.25">
      <c r="A51" s="50"/>
      <c r="B51" s="50"/>
      <c r="C51" s="50"/>
      <c r="D51" s="50"/>
      <c r="E51" s="50"/>
      <c r="F51" s="49"/>
      <c r="G51" s="49"/>
      <c r="H51" s="49"/>
      <c r="I51" s="49"/>
      <c r="J51" s="49"/>
      <c r="K51" s="49"/>
      <c r="L51" s="49"/>
    </row>
    <row r="52" spans="1:12" ht="16.5" customHeight="1" x14ac:dyDescent="0.25">
      <c r="A52" s="2287" t="s">
        <v>245</v>
      </c>
      <c r="B52" s="2287"/>
      <c r="C52" s="2287"/>
      <c r="D52" s="50"/>
      <c r="E52" s="50"/>
      <c r="F52" s="50"/>
      <c r="G52" s="50"/>
      <c r="H52" s="50"/>
      <c r="I52" s="50"/>
      <c r="J52" s="50"/>
      <c r="K52" s="50"/>
      <c r="L52" s="50"/>
    </row>
    <row r="53" spans="1:12" ht="12" customHeight="1" x14ac:dyDescent="0.25">
      <c r="A53" s="49"/>
      <c r="B53" s="50"/>
      <c r="C53" s="50"/>
      <c r="D53" s="50"/>
      <c r="E53" s="50"/>
      <c r="F53" s="49"/>
      <c r="G53" s="49"/>
      <c r="H53" s="49"/>
      <c r="I53" s="49"/>
      <c r="J53" s="49"/>
      <c r="K53" s="49"/>
      <c r="L53" s="49"/>
    </row>
    <row r="54" spans="1:12" ht="15" customHeight="1" x14ac:dyDescent="0.25">
      <c r="A54" s="49"/>
      <c r="B54" s="1618" t="s">
        <v>557</v>
      </c>
      <c r="C54" s="1618"/>
      <c r="D54" s="1618"/>
      <c r="E54" s="1618"/>
      <c r="F54" s="1618"/>
      <c r="G54" s="1618"/>
      <c r="H54" s="1618"/>
      <c r="I54" s="1618"/>
      <c r="J54" s="1618"/>
      <c r="K54" s="1035"/>
      <c r="L54" s="49"/>
    </row>
    <row r="55" spans="1:12" ht="18" customHeight="1" x14ac:dyDescent="0.25">
      <c r="A55" s="49"/>
      <c r="B55" s="646"/>
      <c r="C55" s="646"/>
      <c r="D55" s="646"/>
      <c r="E55" s="646"/>
      <c r="F55" s="646"/>
      <c r="G55" s="646"/>
      <c r="H55" s="646"/>
      <c r="I55" s="646"/>
      <c r="J55" s="646"/>
      <c r="K55" s="646"/>
      <c r="L55" s="49"/>
    </row>
    <row r="56" spans="1:12" x14ac:dyDescent="0.25">
      <c r="A56" s="49"/>
      <c r="B56" s="703" t="s">
        <v>1211</v>
      </c>
      <c r="C56" s="704"/>
      <c r="D56" s="704"/>
      <c r="E56" s="704"/>
      <c r="F56" s="705"/>
      <c r="G56" s="646"/>
      <c r="H56" s="646"/>
      <c r="I56" s="646"/>
      <c r="J56" s="646"/>
      <c r="K56" s="646"/>
      <c r="L56" s="49"/>
    </row>
    <row r="57" spans="1:12" x14ac:dyDescent="0.25">
      <c r="A57" s="49"/>
      <c r="B57" s="706" t="s">
        <v>1212</v>
      </c>
      <c r="C57" s="702"/>
      <c r="D57" s="702"/>
      <c r="E57" s="702"/>
      <c r="F57" s="707"/>
      <c r="G57" s="646"/>
      <c r="H57" s="646"/>
      <c r="I57" s="646"/>
      <c r="J57" s="646"/>
      <c r="K57" s="646"/>
      <c r="L57" s="49"/>
    </row>
    <row r="58" spans="1:12" x14ac:dyDescent="0.25">
      <c r="A58" s="49"/>
      <c r="B58" s="706" t="s">
        <v>1213</v>
      </c>
      <c r="C58" s="702"/>
      <c r="D58" s="702"/>
      <c r="E58" s="702"/>
      <c r="F58" s="707"/>
      <c r="G58" s="646"/>
      <c r="H58" s="646"/>
      <c r="I58" s="646"/>
      <c r="J58" s="646"/>
      <c r="K58" s="646"/>
      <c r="L58" s="49"/>
    </row>
    <row r="59" spans="1:12" x14ac:dyDescent="0.25">
      <c r="A59" s="49"/>
      <c r="B59" s="706" t="s">
        <v>1214</v>
      </c>
      <c r="C59" s="702"/>
      <c r="D59" s="702"/>
      <c r="E59" s="702"/>
      <c r="F59" s="707"/>
      <c r="G59" s="646"/>
      <c r="H59" s="646"/>
      <c r="I59" s="646"/>
      <c r="J59" s="646"/>
      <c r="K59" s="646"/>
      <c r="L59" s="49"/>
    </row>
    <row r="60" spans="1:12" x14ac:dyDescent="0.25">
      <c r="A60" s="49"/>
      <c r="B60" s="706" t="s">
        <v>1215</v>
      </c>
      <c r="C60" s="702"/>
      <c r="D60" s="702"/>
      <c r="E60" s="702"/>
      <c r="F60" s="707"/>
      <c r="G60" s="646"/>
      <c r="H60" s="646"/>
      <c r="I60" s="646"/>
      <c r="J60" s="646"/>
      <c r="K60" s="646"/>
      <c r="L60" s="49"/>
    </row>
    <row r="61" spans="1:12" x14ac:dyDescent="0.25">
      <c r="A61" s="49"/>
      <c r="B61" s="708" t="s">
        <v>1216</v>
      </c>
      <c r="C61" s="709"/>
      <c r="D61" s="709"/>
      <c r="E61" s="709"/>
      <c r="F61" s="710"/>
      <c r="G61" s="646"/>
      <c r="H61" s="646"/>
      <c r="I61" s="646"/>
      <c r="J61" s="646"/>
      <c r="K61" s="646"/>
      <c r="L61" s="49"/>
    </row>
    <row r="62" spans="1:12" x14ac:dyDescent="0.25">
      <c r="A62" s="49"/>
      <c r="B62" s="646"/>
      <c r="C62" s="646"/>
      <c r="D62" s="646"/>
      <c r="E62" s="646"/>
      <c r="F62" s="646"/>
      <c r="G62" s="646"/>
      <c r="H62" s="646"/>
      <c r="I62" s="646"/>
      <c r="J62" s="646"/>
      <c r="K62" s="646"/>
      <c r="L62" s="49"/>
    </row>
    <row r="63" spans="1:12" ht="15" customHeight="1" x14ac:dyDescent="0.25">
      <c r="A63" s="49"/>
      <c r="B63" s="642" t="s">
        <v>1210</v>
      </c>
      <c r="C63" s="646"/>
      <c r="D63" s="646"/>
      <c r="E63" s="646"/>
      <c r="F63" s="646"/>
      <c r="G63" s="646"/>
      <c r="H63" s="646"/>
      <c r="I63" s="646"/>
      <c r="J63" s="646"/>
      <c r="K63" s="646"/>
      <c r="L63" s="49"/>
    </row>
    <row r="64" spans="1:12" ht="15" customHeight="1" x14ac:dyDescent="0.25">
      <c r="A64" s="49"/>
      <c r="B64" s="646"/>
      <c r="C64" s="646"/>
      <c r="D64" s="646"/>
      <c r="E64" s="646"/>
      <c r="F64" s="646"/>
      <c r="G64" s="646"/>
      <c r="H64" s="646"/>
      <c r="I64" s="646"/>
      <c r="J64" s="646"/>
      <c r="K64" s="646"/>
      <c r="L64" s="49"/>
    </row>
    <row r="65" spans="1:14" ht="15" customHeight="1" x14ac:dyDescent="0.25">
      <c r="A65" s="49"/>
      <c r="B65" s="674" t="s">
        <v>576</v>
      </c>
      <c r="C65" s="50"/>
      <c r="D65" s="50"/>
      <c r="E65" s="50"/>
      <c r="F65" s="49"/>
      <c r="G65" s="49"/>
      <c r="H65" s="49"/>
      <c r="I65" s="49"/>
      <c r="J65" s="49"/>
      <c r="K65" s="49"/>
      <c r="L65" s="49"/>
    </row>
    <row r="66" spans="1:14" ht="10.5" customHeight="1" x14ac:dyDescent="0.25">
      <c r="A66" s="49"/>
      <c r="B66" s="277"/>
      <c r="C66" s="50"/>
      <c r="D66" s="50"/>
      <c r="E66" s="50"/>
      <c r="F66" s="49"/>
      <c r="G66" s="49"/>
      <c r="H66" s="49"/>
      <c r="I66" s="49"/>
      <c r="J66" s="49"/>
      <c r="K66" s="49"/>
      <c r="L66" s="49"/>
    </row>
    <row r="67" spans="1:14" ht="32.25" customHeight="1" x14ac:dyDescent="0.25">
      <c r="A67" s="49"/>
      <c r="B67" s="700" t="s">
        <v>570</v>
      </c>
      <c r="C67" s="2317" t="s">
        <v>574</v>
      </c>
      <c r="D67" s="2317"/>
      <c r="E67" s="701" t="s">
        <v>572</v>
      </c>
      <c r="F67" s="701" t="s">
        <v>571</v>
      </c>
      <c r="G67" s="2317" t="s">
        <v>30</v>
      </c>
      <c r="H67" s="2322"/>
      <c r="I67" s="49"/>
      <c r="J67" s="49"/>
      <c r="K67" s="49"/>
      <c r="L67" s="49"/>
      <c r="M67" s="49"/>
      <c r="N67" s="49"/>
    </row>
    <row r="68" spans="1:14" x14ac:dyDescent="0.25">
      <c r="A68" s="49"/>
      <c r="B68" s="657"/>
      <c r="C68" s="2318"/>
      <c r="D68" s="2319"/>
      <c r="E68" s="657" t="s">
        <v>124</v>
      </c>
      <c r="F68" s="657"/>
      <c r="G68" s="2318"/>
      <c r="H68" s="2319"/>
      <c r="I68" s="49"/>
      <c r="J68" s="49"/>
      <c r="K68" s="49"/>
      <c r="L68" s="49"/>
      <c r="M68" s="49"/>
      <c r="N68" s="49"/>
    </row>
    <row r="69" spans="1:14" x14ac:dyDescent="0.25">
      <c r="A69" s="49"/>
      <c r="B69" s="253"/>
      <c r="C69" s="2288"/>
      <c r="D69" s="2289"/>
      <c r="E69" s="657" t="s">
        <v>124</v>
      </c>
      <c r="F69" s="253"/>
      <c r="G69" s="2288"/>
      <c r="H69" s="2289"/>
      <c r="I69" s="49"/>
      <c r="J69" s="49"/>
      <c r="K69" s="49"/>
      <c r="L69" s="49"/>
      <c r="M69" s="49"/>
      <c r="N69" s="49"/>
    </row>
    <row r="70" spans="1:14" x14ac:dyDescent="0.25">
      <c r="A70" s="49"/>
      <c r="B70" s="253"/>
      <c r="C70" s="2288"/>
      <c r="D70" s="2289"/>
      <c r="E70" s="657" t="s">
        <v>124</v>
      </c>
      <c r="F70" s="253"/>
      <c r="G70" s="2288"/>
      <c r="H70" s="2289"/>
      <c r="I70" s="49"/>
      <c r="J70" s="49"/>
      <c r="K70" s="49"/>
      <c r="L70" s="49"/>
      <c r="M70" s="49"/>
      <c r="N70" s="49"/>
    </row>
    <row r="71" spans="1:14" x14ac:dyDescent="0.25">
      <c r="A71" s="49"/>
      <c r="B71" s="253"/>
      <c r="C71" s="2288"/>
      <c r="D71" s="2289"/>
      <c r="E71" s="657" t="s">
        <v>124</v>
      </c>
      <c r="F71" s="253"/>
      <c r="G71" s="2288"/>
      <c r="H71" s="2289"/>
      <c r="I71" s="49"/>
      <c r="J71" s="49"/>
      <c r="K71" s="49"/>
      <c r="L71" s="49"/>
      <c r="M71" s="49"/>
      <c r="N71" s="49"/>
    </row>
    <row r="72" spans="1:14" x14ac:dyDescent="0.25">
      <c r="A72" s="49"/>
      <c r="B72" s="253"/>
      <c r="C72" s="2288"/>
      <c r="D72" s="2289"/>
      <c r="E72" s="657" t="s">
        <v>124</v>
      </c>
      <c r="F72" s="253"/>
      <c r="G72" s="2288"/>
      <c r="H72" s="2289"/>
      <c r="I72" s="49"/>
      <c r="J72" s="49"/>
      <c r="K72" s="49"/>
      <c r="L72" s="49"/>
      <c r="M72" s="49"/>
      <c r="N72" s="49"/>
    </row>
    <row r="73" spans="1:14" x14ac:dyDescent="0.25">
      <c r="A73" s="49"/>
      <c r="B73" s="253"/>
      <c r="C73" s="2288"/>
      <c r="D73" s="2289"/>
      <c r="E73" s="657" t="s">
        <v>124</v>
      </c>
      <c r="F73" s="253"/>
      <c r="G73" s="2288"/>
      <c r="H73" s="2289"/>
      <c r="I73" s="49"/>
      <c r="J73" s="49"/>
      <c r="K73" s="49"/>
      <c r="L73" s="49"/>
      <c r="M73" s="49"/>
      <c r="N73" s="49"/>
    </row>
    <row r="74" spans="1:14" x14ac:dyDescent="0.25">
      <c r="A74" s="49"/>
      <c r="B74" s="50"/>
      <c r="C74" s="50"/>
      <c r="D74" s="50"/>
      <c r="E74" s="50"/>
      <c r="F74" s="49"/>
      <c r="G74" s="49"/>
      <c r="H74" s="49"/>
      <c r="I74" s="49"/>
      <c r="J74" s="49"/>
      <c r="K74" s="49"/>
      <c r="L74" s="49"/>
    </row>
    <row r="75" spans="1:14" ht="28.5" customHeight="1" x14ac:dyDescent="0.25">
      <c r="A75" s="49"/>
      <c r="B75" s="2303" t="s">
        <v>573</v>
      </c>
      <c r="C75" s="2303"/>
      <c r="D75" s="2303"/>
      <c r="E75" s="257" t="str">
        <f>IF(AND(B68&lt;&gt;"",C68&lt;&gt;"",E68&lt;&gt;"",F68&lt;&gt;"",B69&lt;&gt;"",C69&lt;&gt;"",E69&lt;&gt;"",F69&lt;&gt;"",B70&lt;&gt;"",C70&lt;&gt;"",E70&lt;&gt;"",F70&lt;&gt;""),"Yes","No")</f>
        <v>No</v>
      </c>
      <c r="F75" s="49"/>
      <c r="G75" s="49"/>
      <c r="H75" s="49"/>
      <c r="I75" s="49"/>
      <c r="J75" s="49"/>
      <c r="K75" s="49"/>
      <c r="L75" s="49"/>
    </row>
    <row r="76" spans="1:14" ht="18" customHeight="1" x14ac:dyDescent="0.25">
      <c r="A76" s="49"/>
      <c r="B76" s="50"/>
      <c r="C76" s="50"/>
      <c r="D76" s="50"/>
      <c r="E76" s="49"/>
      <c r="F76" s="49"/>
      <c r="G76" s="49"/>
      <c r="H76" s="49"/>
      <c r="I76" s="49"/>
      <c r="J76" s="49"/>
      <c r="K76" s="49"/>
      <c r="L76" s="49"/>
    </row>
    <row r="77" spans="1:14" ht="16.5" customHeight="1" x14ac:dyDescent="0.25">
      <c r="A77" s="2287" t="s">
        <v>186</v>
      </c>
      <c r="B77" s="2287"/>
      <c r="C77" s="2287"/>
      <c r="D77" s="50"/>
      <c r="E77" s="50"/>
      <c r="F77" s="50"/>
      <c r="G77" s="50"/>
      <c r="H77" s="50"/>
      <c r="I77" s="50"/>
      <c r="J77" s="50"/>
      <c r="K77" s="50"/>
      <c r="L77" s="50"/>
    </row>
    <row r="78" spans="1:14" x14ac:dyDescent="0.25">
      <c r="A78" s="49"/>
      <c r="B78" s="50"/>
      <c r="C78" s="50"/>
      <c r="D78" s="50"/>
      <c r="E78" s="49"/>
      <c r="F78" s="49"/>
      <c r="G78" s="49"/>
      <c r="H78" s="49"/>
      <c r="I78" s="49"/>
      <c r="J78" s="49"/>
      <c r="K78" s="49"/>
      <c r="L78" s="49"/>
    </row>
    <row r="79" spans="1:14" ht="15" customHeight="1" x14ac:dyDescent="0.25">
      <c r="A79" s="49"/>
      <c r="B79" s="2245" t="s">
        <v>575</v>
      </c>
      <c r="C79" s="2245"/>
      <c r="D79" s="2245"/>
      <c r="E79" s="2245"/>
      <c r="F79" s="2245"/>
      <c r="G79" s="2245"/>
      <c r="H79" s="49"/>
      <c r="I79" s="49"/>
      <c r="J79" s="49"/>
      <c r="K79" s="49"/>
      <c r="L79" s="49"/>
    </row>
    <row r="80" spans="1:14" x14ac:dyDescent="0.25">
      <c r="A80" s="49"/>
      <c r="B80" s="50"/>
      <c r="C80" s="50"/>
      <c r="D80" s="50"/>
      <c r="E80" s="49"/>
      <c r="F80" s="49"/>
      <c r="G80" s="49"/>
      <c r="H80" s="49"/>
      <c r="I80" s="49"/>
      <c r="J80" s="49"/>
      <c r="K80" s="49"/>
      <c r="L80" s="49"/>
    </row>
    <row r="81" spans="1:12" ht="16.5" customHeight="1" x14ac:dyDescent="0.25">
      <c r="A81" s="2287" t="s">
        <v>22</v>
      </c>
      <c r="B81" s="2287"/>
      <c r="C81" s="2287"/>
      <c r="D81" s="50"/>
      <c r="E81" s="50"/>
      <c r="F81" s="50"/>
      <c r="G81" s="50"/>
      <c r="H81" s="50"/>
      <c r="I81" s="50"/>
      <c r="J81" s="50"/>
      <c r="K81" s="50"/>
      <c r="L81" s="50"/>
    </row>
    <row r="82" spans="1:12" x14ac:dyDescent="0.25">
      <c r="A82" s="49"/>
      <c r="B82" s="50"/>
      <c r="C82" s="50"/>
      <c r="D82" s="50"/>
      <c r="E82" s="50"/>
      <c r="F82" s="49"/>
      <c r="G82" s="49"/>
      <c r="H82" s="49"/>
      <c r="I82" s="49"/>
      <c r="J82" s="49"/>
      <c r="K82" s="49"/>
      <c r="L82" s="49"/>
    </row>
    <row r="83" spans="1:12" ht="18" customHeight="1" x14ac:dyDescent="0.25">
      <c r="A83" s="49"/>
      <c r="B83" s="256" t="s">
        <v>53</v>
      </c>
      <c r="C83" s="181">
        <f>IF(E75="Yes",1,0)</f>
        <v>0</v>
      </c>
      <c r="D83" s="50"/>
      <c r="E83" s="49"/>
      <c r="F83" s="49"/>
      <c r="G83" s="49"/>
      <c r="H83" s="49"/>
      <c r="I83" s="49"/>
      <c r="J83" s="49"/>
      <c r="K83" s="49"/>
      <c r="L83" s="49"/>
    </row>
    <row r="84" spans="1:12" ht="18" customHeight="1" x14ac:dyDescent="0.25">
      <c r="A84" s="49"/>
      <c r="B84" s="256" t="s">
        <v>492</v>
      </c>
      <c r="C84" s="181" t="str">
        <f>IF(C83&gt;0,"Yes","No")</f>
        <v>No</v>
      </c>
      <c r="D84" s="50"/>
      <c r="E84" s="50"/>
      <c r="F84" s="49"/>
      <c r="G84" s="49"/>
      <c r="H84" s="49"/>
      <c r="I84" s="49"/>
      <c r="J84" s="49"/>
      <c r="K84" s="49"/>
      <c r="L84" s="49"/>
    </row>
    <row r="85" spans="1:12" ht="21" customHeight="1" x14ac:dyDescent="0.25">
      <c r="A85" s="49"/>
      <c r="B85" s="50"/>
      <c r="C85" s="50"/>
      <c r="D85" s="50"/>
      <c r="E85" s="50"/>
      <c r="F85" s="49"/>
      <c r="G85" s="49"/>
      <c r="H85" s="49"/>
      <c r="I85" s="49"/>
      <c r="J85" s="49"/>
      <c r="K85" s="49"/>
      <c r="L85" s="49"/>
    </row>
    <row r="86" spans="1:12" ht="18" customHeight="1" x14ac:dyDescent="0.25">
      <c r="A86" s="2278" t="s">
        <v>535</v>
      </c>
      <c r="B86" s="2278"/>
      <c r="C86" s="2278"/>
      <c r="D86" s="2278"/>
      <c r="E86" s="2278"/>
      <c r="F86" s="2278"/>
      <c r="G86" s="2278"/>
      <c r="H86" s="2278"/>
      <c r="I86" s="2278"/>
      <c r="J86" s="2278"/>
      <c r="K86" s="2278"/>
      <c r="L86" s="2278"/>
    </row>
    <row r="87" spans="1:12" x14ac:dyDescent="0.25">
      <c r="A87" s="49"/>
      <c r="B87" s="49"/>
      <c r="C87" s="50"/>
      <c r="D87" s="50"/>
      <c r="E87" s="50"/>
      <c r="F87" s="49"/>
      <c r="G87" s="49"/>
      <c r="H87" s="49"/>
      <c r="I87" s="49"/>
      <c r="J87" s="49"/>
      <c r="K87" s="49"/>
      <c r="L87" s="49"/>
    </row>
    <row r="88" spans="1:12" ht="16.5" customHeight="1" x14ac:dyDescent="0.25">
      <c r="A88" s="2287" t="s">
        <v>245</v>
      </c>
      <c r="B88" s="2287"/>
      <c r="C88" s="2287"/>
      <c r="D88" s="50"/>
      <c r="E88" s="50"/>
      <c r="F88" s="50"/>
      <c r="G88" s="50"/>
      <c r="H88" s="50"/>
      <c r="I88" s="50"/>
      <c r="J88" s="50"/>
      <c r="K88" s="50"/>
      <c r="L88" s="50"/>
    </row>
    <row r="89" spans="1:12" x14ac:dyDescent="0.25">
      <c r="A89" s="49"/>
      <c r="B89" s="50"/>
      <c r="C89" s="50"/>
      <c r="D89" s="50"/>
      <c r="E89" s="50"/>
      <c r="F89" s="49"/>
      <c r="G89" s="49"/>
      <c r="H89" s="49"/>
      <c r="I89" s="49"/>
      <c r="J89" s="49"/>
      <c r="K89" s="49"/>
      <c r="L89" s="49"/>
    </row>
    <row r="90" spans="1:12" ht="15" customHeight="1" x14ac:dyDescent="0.25">
      <c r="A90" s="49"/>
      <c r="B90" s="1618" t="s">
        <v>538</v>
      </c>
      <c r="C90" s="1618"/>
      <c r="D90" s="1618"/>
      <c r="E90" s="1618"/>
      <c r="F90" s="1618"/>
      <c r="G90" s="1618"/>
      <c r="H90" s="1618"/>
      <c r="I90" s="1618"/>
      <c r="J90" s="1618"/>
      <c r="K90" s="1035"/>
      <c r="L90" s="49"/>
    </row>
    <row r="91" spans="1:12" ht="19.5" customHeight="1" x14ac:dyDescent="0.25">
      <c r="A91" s="49"/>
      <c r="B91" s="49"/>
      <c r="C91" s="50"/>
      <c r="D91" s="50"/>
      <c r="E91" s="50"/>
      <c r="F91" s="49"/>
      <c r="G91" s="49"/>
      <c r="H91" s="49"/>
      <c r="I91" s="49"/>
      <c r="J91" s="49"/>
      <c r="K91" s="49"/>
      <c r="L91" s="49"/>
    </row>
    <row r="92" spans="1:12" x14ac:dyDescent="0.25">
      <c r="A92" s="49"/>
      <c r="B92" s="642" t="s">
        <v>1217</v>
      </c>
      <c r="C92" s="50"/>
      <c r="D92" s="50"/>
      <c r="E92" s="50"/>
      <c r="F92" s="49"/>
      <c r="G92" s="49"/>
      <c r="H92" s="49"/>
      <c r="I92" s="49"/>
      <c r="J92" s="49"/>
      <c r="K92" s="49"/>
      <c r="L92" s="49"/>
    </row>
    <row r="93" spans="1:12" ht="12" customHeight="1" x14ac:dyDescent="0.25">
      <c r="A93" s="49"/>
      <c r="B93" s="49"/>
      <c r="C93" s="50"/>
      <c r="D93" s="50"/>
      <c r="E93" s="50"/>
      <c r="F93" s="49"/>
      <c r="G93" s="49"/>
      <c r="H93" s="49"/>
      <c r="I93" s="49"/>
      <c r="J93" s="49"/>
      <c r="K93" s="49"/>
      <c r="L93" s="49"/>
    </row>
    <row r="94" spans="1:12" x14ac:dyDescent="0.25">
      <c r="A94" s="49"/>
      <c r="B94" s="50" t="s">
        <v>539</v>
      </c>
      <c r="C94" s="50"/>
      <c r="D94" s="50"/>
      <c r="E94" s="50"/>
      <c r="F94" s="49"/>
      <c r="G94" s="49"/>
      <c r="H94" s="49"/>
      <c r="I94" s="49"/>
      <c r="J94" s="49"/>
      <c r="K94" s="49"/>
      <c r="L94" s="49"/>
    </row>
    <row r="95" spans="1:12" ht="27" customHeight="1" x14ac:dyDescent="0.25">
      <c r="A95" s="49"/>
      <c r="B95" s="2290" t="s">
        <v>540</v>
      </c>
      <c r="C95" s="2290"/>
      <c r="D95" s="2323"/>
      <c r="E95" s="2323"/>
      <c r="F95" s="2323"/>
      <c r="G95" s="2323"/>
      <c r="H95" s="2323"/>
      <c r="I95" s="49"/>
      <c r="J95" s="49"/>
      <c r="K95" s="49"/>
      <c r="L95" s="49"/>
    </row>
    <row r="96" spans="1:12" x14ac:dyDescent="0.25">
      <c r="A96" s="49"/>
      <c r="B96" s="50"/>
      <c r="C96" s="50"/>
      <c r="D96" s="50"/>
      <c r="E96" s="50"/>
      <c r="F96" s="49"/>
      <c r="G96" s="49"/>
      <c r="H96" s="49"/>
      <c r="I96" s="49"/>
      <c r="J96" s="49"/>
      <c r="K96" s="49"/>
      <c r="L96" s="49"/>
    </row>
    <row r="97" spans="1:12" x14ac:dyDescent="0.25">
      <c r="A97" s="49"/>
      <c r="B97" s="50" t="s">
        <v>541</v>
      </c>
      <c r="C97" s="50"/>
      <c r="D97" s="50"/>
      <c r="E97" s="50"/>
      <c r="F97" s="49"/>
      <c r="G97" s="49"/>
      <c r="H97" s="49"/>
      <c r="I97" s="49"/>
      <c r="J97" s="49"/>
      <c r="K97" s="49"/>
      <c r="L97" s="49"/>
    </row>
    <row r="98" spans="1:12" ht="27" customHeight="1" x14ac:dyDescent="0.25">
      <c r="A98" s="49"/>
      <c r="B98" s="2290" t="s">
        <v>542</v>
      </c>
      <c r="C98" s="2290"/>
      <c r="D98" s="2323"/>
      <c r="E98" s="2323"/>
      <c r="F98" s="2323"/>
      <c r="G98" s="2323"/>
      <c r="H98" s="2323"/>
      <c r="I98" s="49"/>
      <c r="J98" s="49"/>
      <c r="K98" s="49"/>
      <c r="L98" s="49"/>
    </row>
    <row r="99" spans="1:12" x14ac:dyDescent="0.25">
      <c r="A99" s="49"/>
      <c r="B99" s="50"/>
      <c r="C99" s="50"/>
      <c r="D99" s="50"/>
      <c r="E99" s="50"/>
      <c r="F99" s="49"/>
      <c r="G99" s="49"/>
      <c r="H99" s="49"/>
      <c r="I99" s="49"/>
      <c r="J99" s="49"/>
      <c r="K99" s="49"/>
      <c r="L99" s="49"/>
    </row>
    <row r="100" spans="1:12" x14ac:dyDescent="0.25">
      <c r="A100" s="49"/>
      <c r="B100" s="50" t="s">
        <v>551</v>
      </c>
      <c r="C100" s="50"/>
      <c r="D100" s="50"/>
      <c r="E100" s="50"/>
      <c r="F100" s="49"/>
      <c r="G100" s="49"/>
      <c r="H100" s="49"/>
      <c r="I100" s="49"/>
      <c r="J100" s="49"/>
      <c r="K100" s="49"/>
      <c r="L100" s="49"/>
    </row>
    <row r="101" spans="1:12" ht="18" customHeight="1" x14ac:dyDescent="0.25">
      <c r="A101" s="49"/>
      <c r="B101" s="2296" t="s">
        <v>543</v>
      </c>
      <c r="C101" s="2296"/>
      <c r="D101" s="2321"/>
      <c r="E101" s="2295" t="s">
        <v>550</v>
      </c>
      <c r="F101" s="2296"/>
      <c r="G101" s="2296"/>
      <c r="H101" s="49"/>
      <c r="I101" s="49"/>
      <c r="J101" s="49"/>
      <c r="K101" s="49"/>
      <c r="L101" s="49"/>
    </row>
    <row r="102" spans="1:12" ht="24" customHeight="1" x14ac:dyDescent="0.25">
      <c r="A102" s="49"/>
      <c r="B102" s="2294"/>
      <c r="C102" s="2294"/>
      <c r="D102" s="2294"/>
      <c r="E102" s="2294"/>
      <c r="F102" s="2294"/>
      <c r="G102" s="2294"/>
      <c r="H102" s="49"/>
      <c r="I102" s="49"/>
      <c r="J102" s="49"/>
      <c r="K102" s="49"/>
      <c r="L102" s="49"/>
    </row>
    <row r="103" spans="1:12" ht="24" customHeight="1" x14ac:dyDescent="0.25">
      <c r="A103" s="49"/>
      <c r="B103" s="2294"/>
      <c r="C103" s="2294"/>
      <c r="D103" s="2294"/>
      <c r="E103" s="2294"/>
      <c r="F103" s="2294"/>
      <c r="G103" s="2294"/>
      <c r="H103" s="49"/>
      <c r="I103" s="49"/>
      <c r="J103" s="49"/>
      <c r="K103" s="49"/>
      <c r="L103" s="49"/>
    </row>
    <row r="104" spans="1:12" ht="24" customHeight="1" x14ac:dyDescent="0.25">
      <c r="A104" s="49"/>
      <c r="B104" s="2294"/>
      <c r="C104" s="2294"/>
      <c r="D104" s="2294"/>
      <c r="E104" s="2294"/>
      <c r="F104" s="2294"/>
      <c r="G104" s="2294"/>
      <c r="H104" s="49"/>
      <c r="I104" s="49"/>
      <c r="J104" s="49"/>
      <c r="K104" s="49"/>
      <c r="L104" s="49"/>
    </row>
    <row r="105" spans="1:12" ht="18.75" customHeight="1" x14ac:dyDescent="0.25">
      <c r="A105" s="49"/>
      <c r="B105" s="50"/>
      <c r="C105" s="50"/>
      <c r="D105" s="49"/>
      <c r="E105" s="49"/>
      <c r="F105" s="49"/>
      <c r="G105" s="49"/>
      <c r="H105" s="49"/>
      <c r="I105" s="49"/>
      <c r="J105" s="49"/>
      <c r="K105" s="49"/>
      <c r="L105" s="49"/>
    </row>
    <row r="106" spans="1:12" ht="18" customHeight="1" x14ac:dyDescent="0.25">
      <c r="A106" s="49"/>
      <c r="B106" s="2271" t="s">
        <v>544</v>
      </c>
      <c r="C106" s="2271"/>
      <c r="D106" s="2271"/>
      <c r="E106" s="257" t="str">
        <f>IF(AND(D95&lt;&gt;"",D98&lt;&gt;"",B102&lt;&gt;"",E102&lt;&gt;"",B103&lt;&gt;"",E103&lt;&gt;""),"Yes","No")</f>
        <v>No</v>
      </c>
      <c r="F106" s="49"/>
      <c r="G106" s="49"/>
      <c r="H106" s="49"/>
      <c r="I106" s="49"/>
      <c r="J106" s="49"/>
      <c r="K106" s="49"/>
      <c r="L106" s="49"/>
    </row>
    <row r="107" spans="1:12" ht="18.75" customHeight="1" x14ac:dyDescent="0.25">
      <c r="A107" s="49"/>
      <c r="B107" s="50"/>
      <c r="C107" s="50"/>
      <c r="D107" s="50"/>
      <c r="E107" s="49"/>
      <c r="F107" s="49"/>
      <c r="G107" s="49"/>
      <c r="H107" s="49"/>
      <c r="I107" s="49"/>
      <c r="J107" s="49"/>
      <c r="K107" s="49"/>
      <c r="L107" s="49"/>
    </row>
    <row r="108" spans="1:12" ht="16.5" customHeight="1" x14ac:dyDescent="0.25">
      <c r="A108" s="2287" t="s">
        <v>186</v>
      </c>
      <c r="B108" s="2287"/>
      <c r="C108" s="2287"/>
      <c r="D108" s="50"/>
      <c r="E108" s="50"/>
      <c r="F108" s="50"/>
      <c r="G108" s="50"/>
      <c r="H108" s="50"/>
      <c r="I108" s="50"/>
      <c r="J108" s="50"/>
      <c r="K108" s="50"/>
      <c r="L108" s="50"/>
    </row>
    <row r="109" spans="1:12" ht="12" customHeight="1" x14ac:dyDescent="0.25">
      <c r="A109" s="49"/>
      <c r="B109" s="50"/>
      <c r="C109" s="50"/>
      <c r="D109" s="50"/>
      <c r="E109" s="49"/>
      <c r="F109" s="49"/>
      <c r="G109" s="49"/>
      <c r="H109" s="49"/>
      <c r="I109" s="49"/>
      <c r="J109" s="49"/>
      <c r="K109" s="49"/>
      <c r="L109" s="49"/>
    </row>
    <row r="110" spans="1:12" ht="18" customHeight="1" x14ac:dyDescent="0.25">
      <c r="A110" s="49"/>
      <c r="B110" s="2280" t="s">
        <v>1739</v>
      </c>
      <c r="C110" s="2281"/>
      <c r="D110" s="2281"/>
      <c r="E110" s="2281"/>
      <c r="F110" s="2281"/>
      <c r="G110" s="1112" t="s">
        <v>1737</v>
      </c>
      <c r="H110" s="2282" t="s">
        <v>1738</v>
      </c>
      <c r="I110" s="2283"/>
      <c r="J110" s="49"/>
      <c r="K110" s="49"/>
      <c r="L110" s="49"/>
    </row>
    <row r="111" spans="1:12" ht="24" customHeight="1" x14ac:dyDescent="0.25">
      <c r="A111" s="49"/>
      <c r="B111" s="1576" t="s">
        <v>1042</v>
      </c>
      <c r="C111" s="1577"/>
      <c r="D111" s="1577"/>
      <c r="E111" s="1577"/>
      <c r="F111" s="1578"/>
      <c r="G111" s="471" t="s">
        <v>124</v>
      </c>
      <c r="H111" s="1931"/>
      <c r="I111" s="1932"/>
      <c r="J111" s="49"/>
      <c r="K111" s="49"/>
      <c r="L111" s="49"/>
    </row>
    <row r="112" spans="1:12" ht="18" customHeight="1" x14ac:dyDescent="0.25">
      <c r="A112" s="49"/>
      <c r="B112" s="50"/>
      <c r="C112" s="50"/>
      <c r="D112" s="50"/>
      <c r="E112" s="49"/>
      <c r="F112" s="49"/>
      <c r="G112" s="49"/>
      <c r="H112" s="49"/>
      <c r="I112" s="49"/>
      <c r="J112" s="49"/>
      <c r="K112" s="49"/>
      <c r="L112" s="49"/>
    </row>
    <row r="113" spans="1:14" ht="16.5" customHeight="1" x14ac:dyDescent="0.25">
      <c r="A113" s="2287" t="s">
        <v>22</v>
      </c>
      <c r="B113" s="2287"/>
      <c r="C113" s="2287"/>
      <c r="D113" s="50"/>
      <c r="E113" s="50"/>
      <c r="F113" s="50"/>
      <c r="G113" s="50"/>
      <c r="H113" s="50"/>
      <c r="I113" s="50"/>
      <c r="J113" s="50"/>
      <c r="K113" s="50"/>
      <c r="L113" s="50"/>
    </row>
    <row r="114" spans="1:14" x14ac:dyDescent="0.25">
      <c r="A114" s="49"/>
      <c r="B114" s="50"/>
      <c r="C114" s="50"/>
      <c r="D114" s="50"/>
      <c r="E114" s="50"/>
      <c r="F114" s="49"/>
      <c r="G114" s="49"/>
      <c r="H114" s="49"/>
      <c r="I114" s="49"/>
      <c r="J114" s="49"/>
      <c r="K114" s="49"/>
      <c r="L114" s="49"/>
    </row>
    <row r="115" spans="1:14" ht="18" customHeight="1" x14ac:dyDescent="0.25">
      <c r="A115" s="49"/>
      <c r="B115" s="256" t="s">
        <v>53</v>
      </c>
      <c r="C115" s="10">
        <f>IF(E106="Yes",1,0)</f>
        <v>0</v>
      </c>
      <c r="D115" s="50"/>
      <c r="E115" s="49"/>
      <c r="F115" s="49"/>
      <c r="G115" s="49"/>
      <c r="H115" s="49"/>
      <c r="I115" s="49"/>
      <c r="J115" s="49"/>
      <c r="K115" s="49"/>
      <c r="L115" s="49"/>
    </row>
    <row r="116" spans="1:14" ht="18" customHeight="1" x14ac:dyDescent="0.25">
      <c r="A116" s="49"/>
      <c r="B116" s="256" t="s">
        <v>492</v>
      </c>
      <c r="C116" s="181" t="str">
        <f>IF(AND(G112="Submitted",C115&gt;0),"Yes","No")</f>
        <v>No</v>
      </c>
      <c r="D116" s="50"/>
      <c r="E116" s="50"/>
      <c r="F116" s="49"/>
      <c r="G116" s="49"/>
      <c r="H116" s="49"/>
      <c r="I116" s="49"/>
      <c r="J116" s="49"/>
      <c r="K116" s="49"/>
      <c r="L116" s="49"/>
    </row>
    <row r="117" spans="1:14" ht="21" customHeight="1" x14ac:dyDescent="0.25">
      <c r="A117" s="49"/>
      <c r="B117" s="50"/>
      <c r="C117" s="50"/>
      <c r="D117" s="50"/>
      <c r="E117" s="50"/>
      <c r="F117" s="49"/>
      <c r="G117" s="49"/>
      <c r="H117" s="49"/>
      <c r="I117" s="49"/>
      <c r="J117" s="49"/>
      <c r="K117" s="49"/>
      <c r="L117" s="49"/>
    </row>
    <row r="118" spans="1:14" ht="18" customHeight="1" x14ac:dyDescent="0.25">
      <c r="A118" s="2278" t="s">
        <v>536</v>
      </c>
      <c r="B118" s="2278"/>
      <c r="C118" s="2278"/>
      <c r="D118" s="2278"/>
      <c r="E118" s="2278"/>
      <c r="F118" s="2278"/>
      <c r="G118" s="2278"/>
      <c r="H118" s="2278"/>
      <c r="I118" s="2278"/>
      <c r="J118" s="2278"/>
      <c r="K118" s="2278"/>
      <c r="L118" s="2278"/>
    </row>
    <row r="119" spans="1:14" x14ac:dyDescent="0.25">
      <c r="A119" s="49"/>
      <c r="B119" s="49"/>
      <c r="C119" s="50"/>
      <c r="D119" s="50"/>
      <c r="E119" s="50"/>
      <c r="F119" s="49"/>
      <c r="G119" s="49"/>
      <c r="H119" s="49"/>
      <c r="I119" s="49"/>
      <c r="J119" s="49"/>
      <c r="K119" s="49"/>
      <c r="L119" s="49"/>
    </row>
    <row r="120" spans="1:14" ht="16.5" customHeight="1" x14ac:dyDescent="0.25">
      <c r="A120" s="2287" t="s">
        <v>245</v>
      </c>
      <c r="B120" s="2287"/>
      <c r="C120" s="2287"/>
      <c r="D120" s="50"/>
      <c r="E120" s="50"/>
      <c r="F120" s="50"/>
      <c r="G120" s="50"/>
      <c r="H120" s="50"/>
      <c r="I120" s="50"/>
      <c r="J120" s="50"/>
      <c r="K120" s="50"/>
      <c r="L120" s="50"/>
    </row>
    <row r="121" spans="1:14" x14ac:dyDescent="0.25">
      <c r="A121" s="49"/>
      <c r="B121" s="50"/>
      <c r="C121" s="50"/>
      <c r="D121" s="50"/>
      <c r="E121" s="50"/>
      <c r="F121" s="49"/>
      <c r="G121" s="49"/>
      <c r="H121" s="49"/>
      <c r="I121" s="49"/>
      <c r="J121" s="49"/>
      <c r="K121" s="49"/>
      <c r="L121" s="49"/>
    </row>
    <row r="122" spans="1:14" x14ac:dyDescent="0.25">
      <c r="A122" s="49"/>
      <c r="B122" s="2309" t="s">
        <v>1312</v>
      </c>
      <c r="C122" s="2309"/>
      <c r="D122" s="2309"/>
      <c r="E122" s="2309"/>
      <c r="F122" s="2309"/>
      <c r="G122" s="2309"/>
      <c r="H122" s="2309"/>
      <c r="I122" s="2309"/>
      <c r="J122" s="2309"/>
      <c r="K122" s="1048"/>
      <c r="L122" s="49"/>
    </row>
    <row r="123" spans="1:14" ht="18" customHeight="1" x14ac:dyDescent="0.25">
      <c r="A123" s="49"/>
      <c r="B123" s="581"/>
      <c r="C123" s="581"/>
      <c r="D123" s="581"/>
      <c r="E123" s="581"/>
      <c r="F123" s="581"/>
      <c r="G123" s="581"/>
      <c r="H123" s="581"/>
      <c r="I123" s="581"/>
      <c r="J123" s="581"/>
      <c r="K123" s="1048"/>
      <c r="L123" s="49"/>
    </row>
    <row r="124" spans="1:14" x14ac:dyDescent="0.25">
      <c r="A124" s="49"/>
      <c r="B124" s="642" t="s">
        <v>1107</v>
      </c>
      <c r="C124" s="50"/>
      <c r="D124" s="50"/>
      <c r="E124" s="50"/>
      <c r="F124" s="49"/>
      <c r="G124" s="49"/>
      <c r="H124" s="49"/>
      <c r="I124" s="49"/>
      <c r="J124" s="49"/>
      <c r="K124" s="49"/>
      <c r="L124" s="49"/>
    </row>
    <row r="125" spans="1:14" ht="10.5" customHeight="1" x14ac:dyDescent="0.25">
      <c r="A125" s="49"/>
      <c r="B125" s="642"/>
      <c r="C125" s="50"/>
      <c r="D125" s="50"/>
      <c r="E125" s="50"/>
      <c r="F125" s="49"/>
      <c r="G125" s="49"/>
      <c r="H125" s="49"/>
      <c r="I125" s="49"/>
      <c r="J125" s="49"/>
      <c r="K125" s="49"/>
      <c r="L125" s="49"/>
    </row>
    <row r="126" spans="1:14" ht="18" customHeight="1" x14ac:dyDescent="0.25">
      <c r="A126" s="49"/>
      <c r="B126" s="2293" t="s">
        <v>1414</v>
      </c>
      <c r="C126" s="2293"/>
      <c r="D126" s="2293"/>
      <c r="E126" s="2293"/>
      <c r="F126" s="2293"/>
      <c r="G126" s="1329" t="s">
        <v>124</v>
      </c>
      <c r="H126" s="49"/>
      <c r="I126" s="49"/>
      <c r="J126" s="49"/>
      <c r="K126" s="49"/>
      <c r="L126" s="49"/>
      <c r="M126" s="80" t="b">
        <v>0</v>
      </c>
      <c r="N126" s="80"/>
    </row>
    <row r="127" spans="1:14" ht="18" customHeight="1" x14ac:dyDescent="0.25">
      <c r="A127" s="49"/>
      <c r="B127" s="2293" t="s">
        <v>1315</v>
      </c>
      <c r="C127" s="2293"/>
      <c r="D127" s="2293"/>
      <c r="E127" s="2293"/>
      <c r="F127" s="2293"/>
      <c r="G127" s="1329" t="s">
        <v>124</v>
      </c>
      <c r="H127" s="49"/>
      <c r="I127" s="49"/>
      <c r="J127" s="49"/>
      <c r="K127" s="49"/>
      <c r="L127" s="49"/>
      <c r="M127" s="80" t="b">
        <v>0</v>
      </c>
      <c r="N127" s="80" t="b">
        <v>0</v>
      </c>
    </row>
    <row r="128" spans="1:14" ht="18" customHeight="1" x14ac:dyDescent="0.25">
      <c r="A128" s="49"/>
      <c r="B128" s="2293" t="s">
        <v>1316</v>
      </c>
      <c r="C128" s="2293"/>
      <c r="D128" s="2293"/>
      <c r="E128" s="2293"/>
      <c r="F128" s="2293"/>
      <c r="G128" s="1329" t="s">
        <v>124</v>
      </c>
      <c r="H128" s="49"/>
      <c r="I128" s="49"/>
      <c r="J128" s="49"/>
      <c r="K128" s="49"/>
      <c r="L128" s="49"/>
      <c r="M128" s="80" t="b">
        <v>0</v>
      </c>
      <c r="N128" s="80"/>
    </row>
    <row r="129" spans="1:12" ht="12" customHeight="1" x14ac:dyDescent="0.25">
      <c r="A129" s="49"/>
      <c r="B129" s="67"/>
      <c r="C129" s="50"/>
      <c r="D129" s="50"/>
      <c r="E129" s="50"/>
      <c r="F129" s="49"/>
      <c r="G129" s="49"/>
      <c r="H129" s="49"/>
      <c r="I129" s="49"/>
      <c r="J129" s="49"/>
      <c r="K129" s="49"/>
      <c r="L129" s="49"/>
    </row>
    <row r="130" spans="1:12" ht="18" customHeight="1" x14ac:dyDescent="0.25">
      <c r="A130" s="49"/>
      <c r="B130" s="2271" t="s">
        <v>545</v>
      </c>
      <c r="C130" s="2271"/>
      <c r="D130" s="2271"/>
      <c r="E130" s="257" t="str">
        <f>IF(AND(G126="Yes",G127="Yes",G128="Yes"),"Yes","No")</f>
        <v>No</v>
      </c>
      <c r="F130" s="49"/>
      <c r="G130" s="49"/>
      <c r="H130" s="49"/>
      <c r="I130" s="49"/>
      <c r="J130" s="49"/>
      <c r="K130" s="49"/>
      <c r="L130" s="49"/>
    </row>
    <row r="131" spans="1:12" ht="19.5" customHeight="1" x14ac:dyDescent="0.25">
      <c r="A131" s="49"/>
      <c r="B131" s="50"/>
      <c r="C131" s="50"/>
      <c r="D131" s="50"/>
      <c r="E131" s="49"/>
      <c r="F131" s="49"/>
      <c r="G131" s="49"/>
      <c r="H131" s="49"/>
      <c r="I131" s="49"/>
      <c r="J131" s="49"/>
      <c r="K131" s="49"/>
      <c r="L131" s="49"/>
    </row>
    <row r="132" spans="1:12" ht="16.5" customHeight="1" x14ac:dyDescent="0.25">
      <c r="A132" s="2287" t="s">
        <v>186</v>
      </c>
      <c r="B132" s="2287"/>
      <c r="C132" s="2287"/>
      <c r="D132" s="50"/>
      <c r="E132" s="50"/>
      <c r="F132" s="50"/>
      <c r="G132" s="50"/>
      <c r="H132" s="50"/>
      <c r="I132" s="50"/>
      <c r="J132" s="50"/>
      <c r="K132" s="50"/>
      <c r="L132" s="50"/>
    </row>
    <row r="133" spans="1:12" x14ac:dyDescent="0.25">
      <c r="A133" s="49"/>
      <c r="B133" s="50"/>
      <c r="C133" s="50"/>
      <c r="D133" s="50"/>
      <c r="E133" s="49"/>
      <c r="F133" s="49"/>
      <c r="G133" s="49"/>
      <c r="H133" s="49"/>
      <c r="I133" s="49"/>
      <c r="J133" s="49"/>
      <c r="K133" s="49"/>
      <c r="L133" s="49"/>
    </row>
    <row r="134" spans="1:12" ht="18" customHeight="1" x14ac:dyDescent="0.25">
      <c r="A134" s="49"/>
      <c r="B134" s="2280" t="s">
        <v>1739</v>
      </c>
      <c r="C134" s="2281"/>
      <c r="D134" s="2281"/>
      <c r="E134" s="2281"/>
      <c r="F134" s="2281"/>
      <c r="G134" s="1112" t="s">
        <v>1737</v>
      </c>
      <c r="H134" s="2282" t="s">
        <v>1738</v>
      </c>
      <c r="I134" s="2283"/>
      <c r="J134" s="49"/>
      <c r="K134" s="49"/>
      <c r="L134" s="49"/>
    </row>
    <row r="135" spans="1:12" ht="27.75" customHeight="1" x14ac:dyDescent="0.25">
      <c r="A135" s="49"/>
      <c r="B135" s="2306" t="s">
        <v>1313</v>
      </c>
      <c r="C135" s="2307"/>
      <c r="D135" s="2307"/>
      <c r="E135" s="2307"/>
      <c r="F135" s="2308"/>
      <c r="G135" s="678" t="s">
        <v>124</v>
      </c>
      <c r="H135" s="1931"/>
      <c r="I135" s="1932"/>
      <c r="J135" s="49"/>
      <c r="K135" s="49"/>
      <c r="L135" s="49"/>
    </row>
    <row r="136" spans="1:12" ht="19.5" customHeight="1" x14ac:dyDescent="0.25">
      <c r="A136" s="49"/>
      <c r="B136" s="50"/>
      <c r="C136" s="50"/>
      <c r="D136" s="50"/>
      <c r="E136" s="49"/>
      <c r="F136" s="49"/>
      <c r="G136" s="49"/>
      <c r="H136" s="49"/>
      <c r="I136" s="49"/>
      <c r="J136" s="49"/>
      <c r="K136" s="49"/>
      <c r="L136" s="49"/>
    </row>
    <row r="137" spans="1:12" ht="16.5" customHeight="1" x14ac:dyDescent="0.25">
      <c r="A137" s="2287" t="s">
        <v>22</v>
      </c>
      <c r="B137" s="2287"/>
      <c r="C137" s="2287"/>
      <c r="D137" s="50"/>
      <c r="E137" s="50"/>
      <c r="F137" s="50"/>
      <c r="G137" s="50"/>
      <c r="H137" s="50"/>
      <c r="I137" s="50"/>
      <c r="J137" s="50"/>
      <c r="K137" s="50"/>
      <c r="L137" s="50"/>
    </row>
    <row r="138" spans="1:12" x14ac:dyDescent="0.25">
      <c r="A138" s="49"/>
      <c r="B138" s="50"/>
      <c r="C138" s="50"/>
      <c r="D138" s="50"/>
      <c r="E138" s="50"/>
      <c r="F138" s="49"/>
      <c r="G138" s="49"/>
      <c r="H138" s="49"/>
      <c r="I138" s="49"/>
      <c r="J138" s="49"/>
      <c r="K138" s="49"/>
      <c r="L138" s="49"/>
    </row>
    <row r="139" spans="1:12" ht="18" customHeight="1" x14ac:dyDescent="0.25">
      <c r="A139" s="49"/>
      <c r="B139" s="256" t="s">
        <v>53</v>
      </c>
      <c r="C139" s="10">
        <f>IF(E130="Yes",1,0)</f>
        <v>0</v>
      </c>
      <c r="D139" s="50"/>
      <c r="E139" s="49"/>
      <c r="F139" s="49"/>
      <c r="G139" s="49"/>
      <c r="H139" s="49"/>
      <c r="I139" s="49"/>
      <c r="J139" s="49"/>
      <c r="K139" s="49"/>
      <c r="L139" s="49"/>
    </row>
    <row r="140" spans="1:12" ht="18" customHeight="1" x14ac:dyDescent="0.25">
      <c r="A140" s="49"/>
      <c r="B140" s="256" t="s">
        <v>492</v>
      </c>
      <c r="C140" s="181" t="str">
        <f>IF(AND(G135="Submitted",C139&gt;0),"Yes","No")</f>
        <v>No</v>
      </c>
      <c r="D140" s="50"/>
      <c r="E140" s="50"/>
      <c r="F140" s="49"/>
      <c r="G140" s="49"/>
      <c r="H140" s="49"/>
      <c r="I140" s="49"/>
      <c r="J140" s="49"/>
      <c r="K140" s="49"/>
      <c r="L140" s="49"/>
    </row>
    <row r="141" spans="1:12" ht="19.5" customHeight="1" x14ac:dyDescent="0.25">
      <c r="A141" s="49"/>
      <c r="B141" s="50"/>
      <c r="C141" s="50"/>
      <c r="D141" s="50"/>
      <c r="E141" s="50"/>
      <c r="F141" s="49"/>
      <c r="G141" s="49"/>
      <c r="H141" s="49"/>
      <c r="I141" s="49"/>
      <c r="J141" s="49"/>
      <c r="K141" s="49"/>
      <c r="L141" s="49"/>
    </row>
    <row r="142" spans="1:12" ht="18" customHeight="1" x14ac:dyDescent="0.25">
      <c r="A142" s="258" t="s">
        <v>537</v>
      </c>
      <c r="B142" s="59"/>
      <c r="C142" s="59"/>
      <c r="D142" s="59"/>
      <c r="E142" s="59"/>
      <c r="F142" s="59"/>
      <c r="G142" s="59"/>
      <c r="H142" s="59"/>
      <c r="I142" s="59"/>
      <c r="J142" s="59"/>
      <c r="K142" s="59"/>
      <c r="L142" s="59"/>
    </row>
    <row r="143" spans="1:12" x14ac:dyDescent="0.25">
      <c r="A143" s="49"/>
      <c r="B143" s="49"/>
      <c r="C143" s="50"/>
      <c r="D143" s="50"/>
      <c r="E143" s="50"/>
      <c r="F143" s="49"/>
      <c r="G143" s="49"/>
      <c r="H143" s="49"/>
      <c r="I143" s="49"/>
      <c r="J143" s="49"/>
      <c r="K143" s="49"/>
      <c r="L143" s="49"/>
    </row>
    <row r="144" spans="1:12" ht="16.5" customHeight="1" x14ac:dyDescent="0.25">
      <c r="A144" s="2287" t="s">
        <v>245</v>
      </c>
      <c r="B144" s="2287"/>
      <c r="C144" s="2287"/>
      <c r="D144" s="50"/>
      <c r="E144" s="50"/>
      <c r="F144" s="50"/>
      <c r="G144" s="50"/>
      <c r="H144" s="50"/>
      <c r="I144" s="50"/>
      <c r="J144" s="50"/>
      <c r="K144" s="50"/>
      <c r="L144" s="50"/>
    </row>
    <row r="145" spans="1:12" ht="12.75" customHeight="1" x14ac:dyDescent="0.25">
      <c r="A145" s="49"/>
      <c r="B145" s="50"/>
      <c r="C145" s="50"/>
      <c r="D145" s="50"/>
      <c r="E145" s="50"/>
      <c r="F145" s="49"/>
      <c r="G145" s="49"/>
      <c r="H145" s="49"/>
      <c r="I145" s="49"/>
      <c r="J145" s="49"/>
      <c r="K145" s="49"/>
      <c r="L145" s="49"/>
    </row>
    <row r="146" spans="1:12" ht="12.75" customHeight="1" x14ac:dyDescent="0.25">
      <c r="A146" s="49"/>
      <c r="B146" s="792" t="s">
        <v>2563</v>
      </c>
      <c r="C146" s="50"/>
      <c r="D146" s="50"/>
      <c r="E146" s="50"/>
      <c r="F146" s="49"/>
      <c r="G146" s="49"/>
      <c r="H146" s="49"/>
      <c r="I146" s="49"/>
      <c r="J146" s="49"/>
      <c r="K146" s="49"/>
      <c r="L146" s="49"/>
    </row>
    <row r="147" spans="1:12" ht="20.25" customHeight="1" x14ac:dyDescent="0.25">
      <c r="A147" s="49"/>
      <c r="B147" s="792"/>
      <c r="C147" s="50"/>
      <c r="D147" s="50"/>
      <c r="E147" s="50"/>
      <c r="F147" s="49"/>
      <c r="G147" s="49"/>
      <c r="H147" s="49"/>
      <c r="I147" s="49"/>
      <c r="J147" s="49"/>
      <c r="K147" s="49"/>
      <c r="L147" s="49"/>
    </row>
    <row r="148" spans="1:12" x14ac:dyDescent="0.25">
      <c r="A148" s="49"/>
      <c r="B148" s="642" t="s">
        <v>1415</v>
      </c>
      <c r="C148" s="50"/>
      <c r="D148" s="50"/>
      <c r="E148" s="50"/>
      <c r="F148" s="49"/>
      <c r="G148" s="49"/>
      <c r="H148" s="49"/>
      <c r="I148" s="49"/>
      <c r="J148" s="49"/>
      <c r="K148" s="49"/>
      <c r="L148" s="49"/>
    </row>
    <row r="149" spans="1:12" ht="9" customHeight="1" x14ac:dyDescent="0.25">
      <c r="A149" s="49"/>
      <c r="B149" s="185"/>
      <c r="C149" s="50"/>
      <c r="D149" s="50"/>
      <c r="E149" s="50"/>
      <c r="F149" s="49"/>
      <c r="G149" s="49"/>
      <c r="H149" s="49"/>
      <c r="I149" s="49"/>
      <c r="J149" s="49"/>
      <c r="K149" s="49"/>
      <c r="L149" s="49"/>
    </row>
    <row r="150" spans="1:12" ht="18" customHeight="1" x14ac:dyDescent="0.25">
      <c r="A150" s="49"/>
      <c r="B150" s="2291" t="s">
        <v>552</v>
      </c>
      <c r="C150" s="2292"/>
      <c r="D150" s="2272"/>
      <c r="E150" s="2273"/>
      <c r="F150" s="49"/>
      <c r="G150" s="49"/>
      <c r="H150" s="49"/>
      <c r="I150" s="49"/>
      <c r="J150" s="49"/>
      <c r="K150" s="49"/>
      <c r="L150" s="49"/>
    </row>
    <row r="151" spans="1:12" ht="18" customHeight="1" x14ac:dyDescent="0.25">
      <c r="A151" s="49"/>
      <c r="B151" s="2291" t="s">
        <v>553</v>
      </c>
      <c r="C151" s="2292"/>
      <c r="D151" s="2272"/>
      <c r="E151" s="2273"/>
      <c r="F151" s="49"/>
      <c r="G151" s="49"/>
      <c r="H151" s="49"/>
      <c r="I151" s="49"/>
      <c r="J151" s="49"/>
      <c r="K151" s="49"/>
      <c r="L151" s="49"/>
    </row>
    <row r="152" spans="1:12" ht="24.75" customHeight="1" x14ac:dyDescent="0.25">
      <c r="A152" s="49"/>
      <c r="B152" s="2291" t="s">
        <v>554</v>
      </c>
      <c r="C152" s="2292"/>
      <c r="D152" s="2272"/>
      <c r="E152" s="2273"/>
      <c r="F152" s="49"/>
      <c r="G152" s="49"/>
      <c r="H152" s="49"/>
      <c r="I152" s="49"/>
      <c r="J152" s="49"/>
      <c r="K152" s="49"/>
      <c r="L152" s="49"/>
    </row>
    <row r="153" spans="1:12" ht="18" customHeight="1" x14ac:dyDescent="0.25">
      <c r="A153" s="49"/>
      <c r="B153" s="2291" t="s">
        <v>555</v>
      </c>
      <c r="C153" s="2292"/>
      <c r="D153" s="2272"/>
      <c r="E153" s="2273"/>
      <c r="F153" s="49"/>
      <c r="G153" s="49"/>
      <c r="H153" s="49"/>
      <c r="I153" s="49"/>
      <c r="J153" s="49"/>
      <c r="K153" s="49"/>
      <c r="L153" s="49"/>
    </row>
    <row r="154" spans="1:12" ht="18" customHeight="1" x14ac:dyDescent="0.25">
      <c r="A154" s="49"/>
      <c r="B154" s="2291" t="s">
        <v>556</v>
      </c>
      <c r="C154" s="2292"/>
      <c r="D154" s="2272"/>
      <c r="E154" s="2273"/>
      <c r="F154" s="49"/>
      <c r="G154" s="49"/>
      <c r="H154" s="49"/>
      <c r="I154" s="49"/>
      <c r="J154" s="49"/>
      <c r="K154" s="49"/>
      <c r="L154" s="49"/>
    </row>
    <row r="155" spans="1:12" ht="18" customHeight="1" x14ac:dyDescent="0.25">
      <c r="A155" s="49"/>
      <c r="B155" s="50"/>
      <c r="C155" s="50"/>
      <c r="D155" s="50"/>
      <c r="E155" s="50"/>
      <c r="F155" s="49"/>
      <c r="G155" s="49"/>
      <c r="H155" s="49"/>
      <c r="I155" s="49"/>
      <c r="J155" s="49"/>
      <c r="K155" s="49"/>
      <c r="L155" s="49"/>
    </row>
    <row r="156" spans="1:12" ht="18" customHeight="1" x14ac:dyDescent="0.25">
      <c r="A156" s="49"/>
      <c r="B156" s="2271" t="s">
        <v>546</v>
      </c>
      <c r="C156" s="2271"/>
      <c r="D156" s="2271"/>
      <c r="E156" s="257" t="str">
        <f>IF(AND(D150&lt;&gt;"",COUNTIF(D151:E154,"&gt;&lt;")=4),"Yes","No")</f>
        <v>No</v>
      </c>
      <c r="F156" s="49"/>
      <c r="G156" s="49"/>
      <c r="H156" s="49"/>
      <c r="I156" s="49"/>
      <c r="J156" s="49"/>
      <c r="K156" s="49"/>
      <c r="L156" s="49"/>
    </row>
    <row r="157" spans="1:12" ht="18.75" customHeight="1" x14ac:dyDescent="0.25">
      <c r="A157" s="49"/>
      <c r="B157" s="50"/>
      <c r="C157" s="50"/>
      <c r="D157" s="50"/>
      <c r="E157" s="49"/>
      <c r="F157" s="49"/>
      <c r="G157" s="49"/>
      <c r="H157" s="49"/>
      <c r="I157" s="49"/>
      <c r="J157" s="49"/>
      <c r="K157" s="49"/>
      <c r="L157" s="49"/>
    </row>
    <row r="158" spans="1:12" ht="16.5" customHeight="1" x14ac:dyDescent="0.25">
      <c r="A158" s="2287" t="s">
        <v>186</v>
      </c>
      <c r="B158" s="2287"/>
      <c r="C158" s="2287"/>
      <c r="D158" s="50"/>
      <c r="E158" s="50"/>
      <c r="F158" s="50"/>
      <c r="G158" s="50"/>
      <c r="H158" s="50"/>
      <c r="I158" s="50"/>
      <c r="J158" s="50"/>
      <c r="K158" s="50"/>
      <c r="L158" s="50"/>
    </row>
    <row r="159" spans="1:12" x14ac:dyDescent="0.25">
      <c r="A159" s="49"/>
      <c r="B159" s="50"/>
      <c r="C159" s="50"/>
      <c r="D159" s="50"/>
      <c r="E159" s="49"/>
      <c r="F159" s="49"/>
      <c r="G159" s="49"/>
      <c r="H159" s="49"/>
      <c r="I159" s="49"/>
      <c r="J159" s="49"/>
      <c r="K159" s="49"/>
      <c r="L159" s="49"/>
    </row>
    <row r="160" spans="1:12" ht="18" customHeight="1" x14ac:dyDescent="0.25">
      <c r="A160" s="49"/>
      <c r="B160" s="2280" t="s">
        <v>1739</v>
      </c>
      <c r="C160" s="2281"/>
      <c r="D160" s="2281"/>
      <c r="E160" s="2281"/>
      <c r="F160" s="2281"/>
      <c r="G160" s="1112" t="s">
        <v>1737</v>
      </c>
      <c r="H160" s="2282" t="s">
        <v>1738</v>
      </c>
      <c r="I160" s="2283"/>
      <c r="J160" s="49"/>
      <c r="K160" s="49"/>
      <c r="L160" s="49"/>
    </row>
    <row r="161" spans="1:12" ht="21" customHeight="1" x14ac:dyDescent="0.25">
      <c r="A161" s="49"/>
      <c r="B161" s="1576" t="s">
        <v>1314</v>
      </c>
      <c r="C161" s="1577"/>
      <c r="D161" s="1577"/>
      <c r="E161" s="1577"/>
      <c r="F161" s="1578"/>
      <c r="G161" s="471" t="s">
        <v>124</v>
      </c>
      <c r="H161" s="1931"/>
      <c r="I161" s="1932"/>
      <c r="J161" s="49"/>
      <c r="K161" s="49"/>
      <c r="L161" s="49"/>
    </row>
    <row r="162" spans="1:12" hidden="1" x14ac:dyDescent="0.25">
      <c r="A162" s="49"/>
      <c r="B162" s="793">
        <v>2</v>
      </c>
      <c r="C162" s="2310" t="s">
        <v>569</v>
      </c>
      <c r="D162" s="2310"/>
      <c r="E162" s="2310"/>
      <c r="F162" s="2310"/>
      <c r="G162" s="360"/>
      <c r="H162" s="49"/>
      <c r="I162" s="49"/>
      <c r="J162" s="49"/>
      <c r="K162" s="49"/>
      <c r="L162" s="49"/>
    </row>
    <row r="163" spans="1:12" x14ac:dyDescent="0.25">
      <c r="A163" s="49"/>
      <c r="B163" s="50"/>
      <c r="C163" s="50"/>
      <c r="D163" s="50"/>
      <c r="E163" s="49"/>
      <c r="F163" s="49"/>
      <c r="G163" s="49"/>
      <c r="H163" s="49"/>
      <c r="I163" s="49"/>
      <c r="J163" s="49"/>
      <c r="K163" s="49"/>
      <c r="L163" s="49"/>
    </row>
    <row r="164" spans="1:12" ht="16.5" customHeight="1" x14ac:dyDescent="0.25">
      <c r="A164" s="2287" t="s">
        <v>22</v>
      </c>
      <c r="B164" s="2287"/>
      <c r="C164" s="2287"/>
      <c r="D164" s="50"/>
      <c r="E164" s="50"/>
      <c r="F164" s="50"/>
      <c r="G164" s="50"/>
      <c r="H164" s="50"/>
      <c r="I164" s="50"/>
      <c r="J164" s="50"/>
      <c r="K164" s="50"/>
      <c r="L164" s="50"/>
    </row>
    <row r="165" spans="1:12" x14ac:dyDescent="0.25">
      <c r="A165" s="49"/>
      <c r="B165" s="50"/>
      <c r="C165" s="50"/>
      <c r="D165" s="50"/>
      <c r="E165" s="50"/>
      <c r="F165" s="49"/>
      <c r="G165" s="49"/>
      <c r="H165" s="49"/>
      <c r="I165" s="49"/>
      <c r="J165" s="49"/>
      <c r="K165" s="49"/>
      <c r="L165" s="49"/>
    </row>
    <row r="166" spans="1:12" ht="18" customHeight="1" x14ac:dyDescent="0.25">
      <c r="A166" s="49"/>
      <c r="B166" s="256" t="s">
        <v>53</v>
      </c>
      <c r="C166" s="10">
        <f>IF(E156="Yes",1,0)</f>
        <v>0</v>
      </c>
      <c r="D166" s="50"/>
      <c r="E166" s="49"/>
      <c r="F166" s="49"/>
      <c r="G166" s="49"/>
      <c r="H166" s="49"/>
      <c r="I166" s="49"/>
      <c r="J166" s="49"/>
      <c r="K166" s="49"/>
      <c r="L166" s="49"/>
    </row>
    <row r="167" spans="1:12" ht="18" customHeight="1" x14ac:dyDescent="0.25">
      <c r="A167" s="49"/>
      <c r="B167" s="256" t="s">
        <v>492</v>
      </c>
      <c r="C167" s="181" t="str">
        <f>IF(AND(G162="Submitted",C166&gt;0),"Yes","No")</f>
        <v>No</v>
      </c>
      <c r="D167" s="50"/>
      <c r="E167" s="50"/>
      <c r="F167" s="49"/>
      <c r="G167" s="49"/>
      <c r="H167" s="49"/>
      <c r="I167" s="49"/>
      <c r="J167" s="49"/>
      <c r="K167" s="49"/>
      <c r="L167" s="49"/>
    </row>
    <row r="168" spans="1:12" x14ac:dyDescent="0.25">
      <c r="A168" s="49"/>
      <c r="B168" s="50"/>
      <c r="C168" s="50"/>
      <c r="D168" s="50"/>
      <c r="E168" s="50"/>
      <c r="F168" s="49"/>
      <c r="G168" s="49"/>
      <c r="H168" s="49"/>
      <c r="I168" s="49"/>
      <c r="J168" s="49"/>
      <c r="K168" s="49"/>
      <c r="L168" s="49"/>
    </row>
    <row r="169" spans="1:12" ht="15" hidden="1" customHeight="1" x14ac:dyDescent="0.25"/>
    <row r="170" spans="1:12" ht="15" hidden="1" customHeight="1" x14ac:dyDescent="0.25"/>
    <row r="171" spans="1:12" ht="15" hidden="1" customHeight="1" x14ac:dyDescent="0.25"/>
    <row r="172" spans="1:12" ht="15" hidden="1" customHeight="1" x14ac:dyDescent="0.25"/>
    <row r="173" spans="1:12" ht="15" hidden="1" customHeight="1" x14ac:dyDescent="0.25"/>
    <row r="174" spans="1:12" ht="15" hidden="1" customHeight="1" x14ac:dyDescent="0.25"/>
    <row r="175" spans="1:12" ht="15" hidden="1" customHeight="1" x14ac:dyDescent="0.25"/>
    <row r="176" spans="1:12"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sheetData>
  <sheetProtection algorithmName="SHA-512" hashValue="29KQu5zka0s0wi4NCJMxkNSvJCk2+gBJi9KN+6Zrt8j4bLCHNUpJ/6HPOCNarD9rYad+DuoxCVuonkkh1aUqCA==" saltValue="mTF/0+ufzfslWSWBZBm0Bw==" spinCount="100000" sheet="1" objects="1" scenarios="1"/>
  <mergeCells count="107">
    <mergeCell ref="E102:G102"/>
    <mergeCell ref="E103:G103"/>
    <mergeCell ref="E104:G104"/>
    <mergeCell ref="G67:H67"/>
    <mergeCell ref="G68:H68"/>
    <mergeCell ref="D98:H98"/>
    <mergeCell ref="B79:G79"/>
    <mergeCell ref="D95:H95"/>
    <mergeCell ref="A81:C81"/>
    <mergeCell ref="G73:H73"/>
    <mergeCell ref="B98:C98"/>
    <mergeCell ref="C162:F162"/>
    <mergeCell ref="B23:I23"/>
    <mergeCell ref="B24:I24"/>
    <mergeCell ref="A158:C158"/>
    <mergeCell ref="B43:F43"/>
    <mergeCell ref="C70:D70"/>
    <mergeCell ref="B128:F128"/>
    <mergeCell ref="B75:D75"/>
    <mergeCell ref="C67:D67"/>
    <mergeCell ref="C68:D68"/>
    <mergeCell ref="C69:D69"/>
    <mergeCell ref="C73:D73"/>
    <mergeCell ref="A52:C52"/>
    <mergeCell ref="B156:D156"/>
    <mergeCell ref="A86:L86"/>
    <mergeCell ref="G72:H72"/>
    <mergeCell ref="A132:C132"/>
    <mergeCell ref="A77:C77"/>
    <mergeCell ref="B54:J54"/>
    <mergeCell ref="B33:C33"/>
    <mergeCell ref="B34:C34"/>
    <mergeCell ref="D28:H28"/>
    <mergeCell ref="D33:H33"/>
    <mergeCell ref="B101:D101"/>
    <mergeCell ref="D34:H34"/>
    <mergeCell ref="B35:C35"/>
    <mergeCell ref="D35:H35"/>
    <mergeCell ref="A164:C164"/>
    <mergeCell ref="B111:F111"/>
    <mergeCell ref="B135:F135"/>
    <mergeCell ref="B161:F161"/>
    <mergeCell ref="B151:C151"/>
    <mergeCell ref="D150:E150"/>
    <mergeCell ref="D151:E151"/>
    <mergeCell ref="B153:C153"/>
    <mergeCell ref="D153:E153"/>
    <mergeCell ref="B152:C152"/>
    <mergeCell ref="D152:E152"/>
    <mergeCell ref="B130:D130"/>
    <mergeCell ref="D154:E154"/>
    <mergeCell ref="B150:C150"/>
    <mergeCell ref="B127:F127"/>
    <mergeCell ref="B122:J122"/>
    <mergeCell ref="A113:C113"/>
    <mergeCell ref="B42:F42"/>
    <mergeCell ref="H42:I42"/>
    <mergeCell ref="H43:I43"/>
    <mergeCell ref="H111:I111"/>
    <mergeCell ref="A1:L1"/>
    <mergeCell ref="I2:J4"/>
    <mergeCell ref="A5:L7"/>
    <mergeCell ref="G71:H71"/>
    <mergeCell ref="A50:L50"/>
    <mergeCell ref="A19:L19"/>
    <mergeCell ref="A9:L9"/>
    <mergeCell ref="B17:E17"/>
    <mergeCell ref="D27:H27"/>
    <mergeCell ref="B11:E11"/>
    <mergeCell ref="B12:E12"/>
    <mergeCell ref="B27:C27"/>
    <mergeCell ref="B13:E13"/>
    <mergeCell ref="B14:E14"/>
    <mergeCell ref="B15:E15"/>
    <mergeCell ref="B16:E16"/>
    <mergeCell ref="C71:D71"/>
    <mergeCell ref="G69:H69"/>
    <mergeCell ref="G70:H70"/>
    <mergeCell ref="A21:C21"/>
    <mergeCell ref="A40:C40"/>
    <mergeCell ref="A45:C45"/>
    <mergeCell ref="B38:D38"/>
    <mergeCell ref="B28:C28"/>
    <mergeCell ref="A108:C108"/>
    <mergeCell ref="A88:C88"/>
    <mergeCell ref="C72:D72"/>
    <mergeCell ref="B90:J90"/>
    <mergeCell ref="B95:C95"/>
    <mergeCell ref="H135:I135"/>
    <mergeCell ref="H161:I161"/>
    <mergeCell ref="B160:F160"/>
    <mergeCell ref="H160:I160"/>
    <mergeCell ref="B110:F110"/>
    <mergeCell ref="H110:I110"/>
    <mergeCell ref="B134:F134"/>
    <mergeCell ref="H134:I134"/>
    <mergeCell ref="A120:C120"/>
    <mergeCell ref="B154:C154"/>
    <mergeCell ref="A137:C137"/>
    <mergeCell ref="A144:C144"/>
    <mergeCell ref="A118:L118"/>
    <mergeCell ref="B126:F126"/>
    <mergeCell ref="B106:D106"/>
    <mergeCell ref="B102:D102"/>
    <mergeCell ref="B103:D103"/>
    <mergeCell ref="B104:D104"/>
    <mergeCell ref="E101:G101"/>
  </mergeCells>
  <conditionalFormatting sqref="G111">
    <cfRule type="expression" dxfId="40" priority="12">
      <formula>#REF!&lt;&gt;"Prescriptive Path"</formula>
    </cfRule>
  </conditionalFormatting>
  <conditionalFormatting sqref="G135">
    <cfRule type="expression" dxfId="39" priority="11">
      <formula>#REF!&lt;&gt;"Prescriptive Path"</formula>
    </cfRule>
  </conditionalFormatting>
  <conditionalFormatting sqref="G161">
    <cfRule type="expression" dxfId="38" priority="10">
      <formula>#REF!&lt;&gt;"Prescriptive Path"</formula>
    </cfRule>
  </conditionalFormatting>
  <conditionalFormatting sqref="G43">
    <cfRule type="expression" dxfId="37" priority="9">
      <formula>#REF!&lt;&gt;"Prescriptive Path"</formula>
    </cfRule>
  </conditionalFormatting>
  <conditionalFormatting sqref="H43">
    <cfRule type="expression" dxfId="36" priority="8">
      <formula>#REF!&lt;&gt;"Prescriptive Path"</formula>
    </cfRule>
  </conditionalFormatting>
  <conditionalFormatting sqref="H111">
    <cfRule type="expression" dxfId="35" priority="7">
      <formula>#REF!&lt;&gt;"Prescriptive Path"</formula>
    </cfRule>
  </conditionalFormatting>
  <conditionalFormatting sqref="H135">
    <cfRule type="expression" dxfId="34" priority="6">
      <formula>#REF!&lt;&gt;"Prescriptive Path"</formula>
    </cfRule>
  </conditionalFormatting>
  <conditionalFormatting sqref="H161">
    <cfRule type="expression" dxfId="33" priority="5">
      <formula>#REF!&lt;&gt;"Prescriptive Path"</formula>
    </cfRule>
  </conditionalFormatting>
  <conditionalFormatting sqref="H160:I160">
    <cfRule type="expression" dxfId="32" priority="4">
      <formula>#REF!&lt;&gt;"Prescriptive Path"</formula>
    </cfRule>
  </conditionalFormatting>
  <conditionalFormatting sqref="H110:I110">
    <cfRule type="expression" dxfId="31" priority="3">
      <formula>#REF!&lt;&gt;"Prescriptive Path"</formula>
    </cfRule>
  </conditionalFormatting>
  <conditionalFormatting sqref="H134:I134">
    <cfRule type="expression" dxfId="30" priority="2">
      <formula>#REF!&lt;&gt;"Prescriptive Path"</formula>
    </cfRule>
  </conditionalFormatting>
  <conditionalFormatting sqref="H42:I42">
    <cfRule type="expression" dxfId="29" priority="1">
      <formula>#REF!&lt;&gt;"Prescriptive Path"</formula>
    </cfRule>
  </conditionalFormatting>
  <dataValidations count="11">
    <dataValidation type="list" allowBlank="1" showInputMessage="1" showErrorMessage="1" sqref="G161:G162 G135 G43 G111" xr:uid="{00000000-0002-0000-3300-000000000000}">
      <formula1>"Submitted,Not submitted"</formula1>
    </dataValidation>
    <dataValidation allowBlank="1" showInputMessage="1" showErrorMessage="1" prompt="Onsite, recycling facilities, landfill, reuse location, etc." sqref="F67" xr:uid="{00000000-0002-0000-3300-000001000000}"/>
    <dataValidation allowBlank="1" showInputMessage="1" showErrorMessage="1" prompt="Measures include:_x000a_Earth Dikes/Drainage Swales &amp; Lined Ditches, _x000a_Outlet Protection/Velocity Dissipation Devices, _x000a_Slope Drains, _x000a_Streambank Stabilization, etc." sqref="B28:C28" xr:uid="{00000000-0002-0000-3300-000002000000}"/>
    <dataValidation allowBlank="1" showInputMessage="1" showErrorMessage="1" prompt="Measures include: _x000a_mulching, _x000a_vegetation, _x000a_erosion control blankets, etc." sqref="B34:H34" xr:uid="{00000000-0002-0000-3300-000003000000}"/>
    <dataValidation allowBlank="1" showInputMessage="1" showErrorMessage="1" prompt="Measures include: _x000a_Silt Fence, Sediment Basin, Sediment Trap, Check Dam, Fiber Rolls, Sandbag Barrier, Storm Drain Inlet Protection, etc." sqref="B35:H35" xr:uid="{00000000-0002-0000-3300-000004000000}"/>
    <dataValidation allowBlank="1" showInputMessage="1" showErrorMessage="1" prompt="Include any activity that could increase the rate of erosion such as: clearing, grubbing, grading, excavation, etc." sqref="B33:H33" xr:uid="{00000000-0002-0000-3300-000005000000}"/>
    <dataValidation allowBlank="1" showInputMessage="1" showErrorMessage="1" prompt="Can be adjoining residential properties, schools, places of worship, etc" sqref="B95:H95" xr:uid="{00000000-0002-0000-3300-000006000000}"/>
    <dataValidation allowBlank="1" showInputMessage="1" showErrorMessage="1" prompt="Measures include:_x000a_- Limit construction hours to 9:00am – 5:00pm_x000a_- Notify neighbours of construction periods_x000a_- Install noise barriers_x000a_- Modify a noisy process or equipment _x000a_- Use well-maintained equipment" sqref="B101:B104" xr:uid="{00000000-0002-0000-3300-000007000000}"/>
    <dataValidation allowBlank="1" showInputMessage="1" showErrorMessage="1" prompt="Can be drilling, piling, jackhammering, heavy machinery, etc." sqref="B98:H98" xr:uid="{00000000-0002-0000-3300-000008000000}"/>
    <dataValidation type="list" allowBlank="1" showInputMessage="1" showErrorMessage="1" sqref="E68:E73" xr:uid="{00000000-0002-0000-3300-000009000000}">
      <formula1>"Select,Reuse,Recycling,Landfill,Other"</formula1>
    </dataValidation>
    <dataValidation type="list" allowBlank="1" showInputMessage="1" showErrorMessage="1" sqref="G126:G128" xr:uid="{00000000-0002-0000-3300-00000A000000}">
      <formula1>"Select,Yes,No"</formula1>
    </dataValidation>
  </dataValidations>
  <hyperlinks>
    <hyperlink ref="K2" location="'CM-1 Design Stage'!C3" tooltip="CM-1" display="CM-1" xr:uid="{00000000-0004-0000-3300-000000000000}"/>
    <hyperlink ref="K3" location="'CM-3 Operational Management'!C3" tooltip="CM-3" display="CM-3" xr:uid="{00000000-0004-0000-3300-000001000000}"/>
    <hyperlink ref="K4" location="'CM-4 Access for PWD'!B3" tooltip="CM-4" display="CM-4" xr:uid="{00000000-0004-0000-3300-000002000000}"/>
    <hyperlink ref="L3" location="'CM BPC'!B3" tooltip="BPC" display="BPC" xr:uid="{00000000-0004-0000-3300-000003000000}"/>
  </hyperlinks>
  <pageMargins left="0.7" right="0.7" top="0.75" bottom="0.75" header="0.3" footer="0.3"/>
  <pageSetup orientation="portrait" verticalDpi="12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6">
    <tabColor rgb="FF984806"/>
  </sheetPr>
  <dimension ref="A1:M119"/>
  <sheetViews>
    <sheetView showGridLines="0" showRowColHeaders="0" workbookViewId="0">
      <pane ySplit="8" topLeftCell="A84" activePane="bottomLeft" state="frozen"/>
      <selection activeCell="B19" sqref="B19:E19"/>
      <selection pane="bottomLeft" activeCell="J4" sqref="J4"/>
    </sheetView>
  </sheetViews>
  <sheetFormatPr defaultColWidth="0" defaultRowHeight="15" customHeight="1" zeroHeight="1" x14ac:dyDescent="0.25"/>
  <cols>
    <col min="1" max="1" width="5.7109375" style="38" customWidth="1"/>
    <col min="2" max="2" width="18.42578125" style="38" customWidth="1"/>
    <col min="3" max="3" width="17" style="38" customWidth="1"/>
    <col min="4" max="5" width="18.42578125" style="38" customWidth="1"/>
    <col min="6" max="8" width="18.7109375" style="38" customWidth="1"/>
    <col min="9" max="9" width="15.28515625" style="38" customWidth="1"/>
    <col min="10" max="11" width="8.7109375" style="38" customWidth="1"/>
    <col min="12" max="13" width="0" style="38" hidden="1" customWidth="1"/>
    <col min="14" max="16384" width="9.140625" style="38" hidden="1"/>
  </cols>
  <sheetData>
    <row r="1" spans="1:13" ht="25.5" customHeight="1" x14ac:dyDescent="0.25">
      <c r="A1" s="2284" t="s">
        <v>135</v>
      </c>
      <c r="B1" s="2284"/>
      <c r="C1" s="2284"/>
      <c r="D1" s="2284"/>
      <c r="E1" s="2284"/>
      <c r="F1" s="2284"/>
      <c r="G1" s="2284"/>
      <c r="H1" s="2284"/>
      <c r="I1" s="2284"/>
      <c r="J1" s="2284"/>
      <c r="K1" s="2284"/>
    </row>
    <row r="2" spans="1:13" ht="15" customHeight="1" x14ac:dyDescent="0.25">
      <c r="A2" s="49"/>
      <c r="B2" s="50"/>
      <c r="C2" s="50"/>
      <c r="D2" s="50"/>
      <c r="E2" s="50"/>
      <c r="F2" s="49"/>
      <c r="G2" s="49"/>
      <c r="H2" s="1585" t="s">
        <v>1762</v>
      </c>
      <c r="I2" s="1585"/>
      <c r="J2" s="743" t="s">
        <v>139</v>
      </c>
      <c r="K2" s="743"/>
    </row>
    <row r="3" spans="1:13" ht="15" customHeight="1" x14ac:dyDescent="0.25">
      <c r="A3" s="49"/>
      <c r="B3" s="50"/>
      <c r="C3" s="50"/>
      <c r="D3" s="50"/>
      <c r="E3" s="50"/>
      <c r="F3" s="49"/>
      <c r="G3" s="49"/>
      <c r="H3" s="1585"/>
      <c r="I3" s="1585"/>
      <c r="J3" s="743" t="s">
        <v>140</v>
      </c>
      <c r="K3" s="743" t="s">
        <v>76</v>
      </c>
    </row>
    <row r="4" spans="1:13" ht="15" customHeight="1" x14ac:dyDescent="0.25">
      <c r="A4" s="49"/>
      <c r="B4" s="50"/>
      <c r="C4" s="50"/>
      <c r="D4" s="50"/>
      <c r="E4" s="50"/>
      <c r="F4" s="49"/>
      <c r="G4" s="49"/>
      <c r="H4" s="1586"/>
      <c r="I4" s="1586"/>
      <c r="J4" s="743" t="s">
        <v>1813</v>
      </c>
      <c r="K4" s="743"/>
    </row>
    <row r="5" spans="1:13" ht="20.25" customHeight="1" x14ac:dyDescent="0.25">
      <c r="A5" s="1600" t="s">
        <v>2664</v>
      </c>
      <c r="B5" s="1601"/>
      <c r="C5" s="1601"/>
      <c r="D5" s="1601"/>
      <c r="E5" s="1601"/>
      <c r="F5" s="1601"/>
      <c r="G5" s="1601"/>
      <c r="H5" s="1601"/>
      <c r="I5" s="1601"/>
      <c r="J5" s="1601"/>
      <c r="K5" s="1601"/>
    </row>
    <row r="6" spans="1:13" ht="20.25" customHeight="1" x14ac:dyDescent="0.25">
      <c r="A6" s="1603"/>
      <c r="B6" s="1604"/>
      <c r="C6" s="1604"/>
      <c r="D6" s="1604"/>
      <c r="E6" s="1604"/>
      <c r="F6" s="1604"/>
      <c r="G6" s="1604"/>
      <c r="H6" s="1604"/>
      <c r="I6" s="1604"/>
      <c r="J6" s="1604"/>
      <c r="K6" s="1604"/>
    </row>
    <row r="7" spans="1:13" ht="20.25" customHeight="1" x14ac:dyDescent="0.25">
      <c r="A7" s="1606"/>
      <c r="B7" s="1607"/>
      <c r="C7" s="1607"/>
      <c r="D7" s="1607"/>
      <c r="E7" s="1607"/>
      <c r="F7" s="1607"/>
      <c r="G7" s="1607"/>
      <c r="H7" s="1607"/>
      <c r="I7" s="1607"/>
      <c r="J7" s="1607"/>
      <c r="K7" s="1607"/>
    </row>
    <row r="8" spans="1:13" ht="12" customHeight="1" x14ac:dyDescent="0.25">
      <c r="A8" s="49"/>
      <c r="B8" s="50"/>
      <c r="C8" s="50"/>
      <c r="D8" s="50"/>
      <c r="E8" s="50"/>
      <c r="F8" s="49"/>
      <c r="G8" s="49"/>
      <c r="H8" s="49"/>
      <c r="I8" s="49"/>
      <c r="J8" s="49"/>
      <c r="K8" s="49"/>
    </row>
    <row r="9" spans="1:13" ht="18" customHeight="1" x14ac:dyDescent="0.25">
      <c r="A9" s="2278" t="s">
        <v>177</v>
      </c>
      <c r="B9" s="2278"/>
      <c r="C9" s="2278"/>
      <c r="D9" s="2278"/>
      <c r="E9" s="2278"/>
      <c r="F9" s="2278"/>
      <c r="G9" s="2278"/>
      <c r="H9" s="2278"/>
      <c r="I9" s="2278"/>
      <c r="J9" s="2278"/>
      <c r="K9" s="2278"/>
    </row>
    <row r="10" spans="1:13" x14ac:dyDescent="0.25">
      <c r="A10" s="49"/>
      <c r="B10" s="50"/>
      <c r="C10" s="50"/>
      <c r="D10" s="50"/>
      <c r="E10" s="50"/>
      <c r="F10" s="49"/>
      <c r="G10" s="49"/>
      <c r="H10" s="49"/>
      <c r="I10" s="49"/>
      <c r="J10" s="49"/>
      <c r="K10" s="49"/>
    </row>
    <row r="11" spans="1:13" ht="21" customHeight="1" x14ac:dyDescent="0.25">
      <c r="A11" s="49"/>
      <c r="B11" s="2285" t="s">
        <v>178</v>
      </c>
      <c r="C11" s="2286"/>
      <c r="D11" s="2286"/>
      <c r="E11" s="2286"/>
      <c r="F11" s="564" t="s">
        <v>152</v>
      </c>
      <c r="G11" s="564" t="s">
        <v>53</v>
      </c>
      <c r="H11" s="60" t="s">
        <v>492</v>
      </c>
      <c r="I11" s="49"/>
      <c r="J11" s="49"/>
      <c r="K11" s="49"/>
    </row>
    <row r="12" spans="1:13" ht="29.25" customHeight="1" x14ac:dyDescent="0.25">
      <c r="A12" s="49"/>
      <c r="B12" s="1791" t="s">
        <v>2062</v>
      </c>
      <c r="C12" s="1792"/>
      <c r="D12" s="1792"/>
      <c r="E12" s="1793"/>
      <c r="F12" s="55">
        <v>1</v>
      </c>
      <c r="G12" s="259">
        <f>C43</f>
        <v>0</v>
      </c>
      <c r="H12" s="259" t="str">
        <f>C44</f>
        <v>No</v>
      </c>
      <c r="I12" s="49"/>
      <c r="J12" s="49"/>
      <c r="K12" s="49"/>
      <c r="M12" s="38" t="str">
        <f>IF(G12&lt;&gt;0,IF(H12="No","No","Yes"),"Yes")</f>
        <v>Yes</v>
      </c>
    </row>
    <row r="13" spans="1:13" ht="27" customHeight="1" x14ac:dyDescent="0.25">
      <c r="A13" s="49"/>
      <c r="B13" s="1791" t="s">
        <v>2082</v>
      </c>
      <c r="C13" s="1792"/>
      <c r="D13" s="1792"/>
      <c r="E13" s="1793"/>
      <c r="F13" s="1090">
        <v>1</v>
      </c>
      <c r="G13" s="1090">
        <f>C81</f>
        <v>0</v>
      </c>
      <c r="H13" s="1090" t="str">
        <f>C82</f>
        <v>No</v>
      </c>
      <c r="I13" s="49"/>
      <c r="J13" s="49"/>
      <c r="K13" s="49"/>
      <c r="M13" s="38" t="str">
        <f t="shared" ref="M13:M14" si="0">IF(G13&lt;&gt;0,IF(H13="No","No","Yes"),"Yes")</f>
        <v>Yes</v>
      </c>
    </row>
    <row r="14" spans="1:13" ht="27" customHeight="1" x14ac:dyDescent="0.25">
      <c r="A14" s="49"/>
      <c r="B14" s="1791" t="s">
        <v>2084</v>
      </c>
      <c r="C14" s="1792"/>
      <c r="D14" s="1792"/>
      <c r="E14" s="1793"/>
      <c r="F14" s="1090">
        <v>1</v>
      </c>
      <c r="G14" s="1090">
        <f>C113</f>
        <v>0</v>
      </c>
      <c r="H14" s="1090" t="str">
        <f>C114</f>
        <v>No</v>
      </c>
      <c r="I14" s="49"/>
      <c r="J14" s="49"/>
      <c r="K14" s="49"/>
      <c r="M14" s="38" t="str">
        <f t="shared" si="0"/>
        <v>Yes</v>
      </c>
    </row>
    <row r="15" spans="1:13" ht="21" customHeight="1" x14ac:dyDescent="0.25">
      <c r="A15" s="49"/>
      <c r="B15" s="1613" t="s">
        <v>79</v>
      </c>
      <c r="C15" s="1748"/>
      <c r="D15" s="1748"/>
      <c r="E15" s="1749"/>
      <c r="F15" s="631">
        <v>3</v>
      </c>
      <c r="G15" s="631">
        <f>MIN(3,SUM(G12:G14))</f>
        <v>0</v>
      </c>
      <c r="H15" s="631" t="str">
        <f>IF(COUNTIF(H12:H14,"No")=3,"No",IF(COUNTIF(M12:M14,"Yes")=3,"Yes","No"))</f>
        <v>No</v>
      </c>
      <c r="I15" s="49"/>
      <c r="J15" s="49"/>
      <c r="K15" s="49"/>
    </row>
    <row r="16" spans="1:13" x14ac:dyDescent="0.25">
      <c r="A16" s="49"/>
      <c r="B16" s="50"/>
      <c r="C16" s="50"/>
      <c r="D16" s="50"/>
      <c r="E16" s="50"/>
      <c r="F16" s="49"/>
      <c r="G16" s="49"/>
      <c r="H16" s="49"/>
      <c r="I16" s="49"/>
      <c r="J16" s="49"/>
      <c r="K16" s="49"/>
    </row>
    <row r="17" spans="1:13" ht="18" customHeight="1" x14ac:dyDescent="0.25">
      <c r="A17" s="2278" t="s">
        <v>2064</v>
      </c>
      <c r="B17" s="2278"/>
      <c r="C17" s="2278"/>
      <c r="D17" s="2278"/>
      <c r="E17" s="2278"/>
      <c r="F17" s="2278"/>
      <c r="G17" s="2278"/>
      <c r="H17" s="2278"/>
      <c r="I17" s="2278"/>
      <c r="J17" s="2278"/>
      <c r="K17" s="2278"/>
    </row>
    <row r="18" spans="1:13" x14ac:dyDescent="0.25">
      <c r="A18" s="49"/>
      <c r="B18" s="50"/>
      <c r="C18" s="50"/>
      <c r="D18" s="50"/>
      <c r="E18" s="50"/>
      <c r="F18" s="49"/>
      <c r="G18" s="49"/>
      <c r="H18" s="49"/>
      <c r="I18" s="49"/>
      <c r="J18" s="49"/>
      <c r="K18" s="49"/>
    </row>
    <row r="19" spans="1:13" ht="16.5" customHeight="1" x14ac:dyDescent="0.25">
      <c r="A19" s="2287" t="s">
        <v>245</v>
      </c>
      <c r="B19" s="2287"/>
      <c r="C19" s="2287"/>
      <c r="D19" s="50"/>
      <c r="E19" s="50"/>
      <c r="F19" s="50"/>
      <c r="G19" s="50"/>
      <c r="H19" s="50"/>
      <c r="I19" s="50"/>
      <c r="J19" s="50"/>
      <c r="K19" s="50"/>
    </row>
    <row r="20" spans="1:13" x14ac:dyDescent="0.25">
      <c r="A20" s="49"/>
      <c r="B20" s="50"/>
      <c r="C20" s="50"/>
      <c r="D20" s="50"/>
      <c r="E20" s="50"/>
      <c r="F20" s="49"/>
      <c r="G20" s="49"/>
      <c r="H20" s="49"/>
      <c r="I20" s="49"/>
      <c r="J20" s="49"/>
      <c r="K20" s="49"/>
    </row>
    <row r="21" spans="1:13" ht="18" customHeight="1" x14ac:dyDescent="0.25">
      <c r="A21" s="49"/>
      <c r="B21" s="750" t="s">
        <v>2013</v>
      </c>
      <c r="C21" s="570"/>
      <c r="D21" s="570"/>
      <c r="E21" s="570"/>
      <c r="F21" s="570"/>
      <c r="G21" s="570"/>
      <c r="H21" s="571"/>
      <c r="I21" s="49"/>
      <c r="J21" s="49"/>
      <c r="K21" s="49"/>
    </row>
    <row r="22" spans="1:13" ht="18" customHeight="1" x14ac:dyDescent="0.25">
      <c r="A22" s="49"/>
      <c r="B22" s="751" t="s">
        <v>547</v>
      </c>
      <c r="C22" s="575"/>
      <c r="D22" s="575"/>
      <c r="E22" s="575"/>
      <c r="F22" s="575"/>
      <c r="G22" s="575"/>
      <c r="H22" s="576"/>
      <c r="I22" s="49"/>
      <c r="J22" s="49"/>
      <c r="K22" s="49"/>
    </row>
    <row r="23" spans="1:13" x14ac:dyDescent="0.25">
      <c r="A23" s="49"/>
      <c r="B23" s="50"/>
      <c r="C23" s="50"/>
      <c r="D23" s="50"/>
      <c r="E23" s="50"/>
      <c r="F23" s="49"/>
      <c r="G23" s="49"/>
      <c r="H23" s="49"/>
      <c r="I23" s="49"/>
      <c r="J23" s="49"/>
      <c r="K23" s="49"/>
    </row>
    <row r="24" spans="1:13" x14ac:dyDescent="0.25">
      <c r="A24" s="49"/>
      <c r="B24" s="642" t="s">
        <v>1310</v>
      </c>
      <c r="C24" s="50"/>
      <c r="D24" s="50"/>
      <c r="E24" s="50"/>
      <c r="F24" s="49"/>
      <c r="G24" s="49"/>
      <c r="H24" s="49"/>
      <c r="I24" s="49"/>
      <c r="J24" s="49"/>
      <c r="K24" s="49"/>
    </row>
    <row r="25" spans="1:13" ht="10.5" customHeight="1" x14ac:dyDescent="0.25">
      <c r="A25" s="49"/>
      <c r="B25" s="50"/>
      <c r="C25" s="50"/>
      <c r="D25" s="50"/>
      <c r="E25" s="50"/>
      <c r="F25" s="49"/>
      <c r="G25" s="49"/>
      <c r="H25" s="49"/>
      <c r="I25" s="49"/>
      <c r="J25" s="49"/>
      <c r="K25" s="49"/>
    </row>
    <row r="26" spans="1:13" ht="18" customHeight="1" x14ac:dyDescent="0.25">
      <c r="A26" s="49"/>
      <c r="B26" s="1849" t="str">
        <f>IF('Project information'!C7="Certification stage","• Has a Building Operation &amp; Maintenance Manual been provided?","• Will a Building Operation &amp; Maintenance Manual be provided?")</f>
        <v>• Will a Building Operation &amp; Maintenance Manual be provided?</v>
      </c>
      <c r="C26" s="1849"/>
      <c r="D26" s="1849"/>
      <c r="E26" s="1849"/>
      <c r="F26" s="252" t="s">
        <v>124</v>
      </c>
      <c r="G26" s="49"/>
      <c r="H26" s="49"/>
      <c r="I26" s="49"/>
      <c r="J26" s="49"/>
      <c r="K26" s="49"/>
      <c r="L26" s="61"/>
      <c r="M26" s="61"/>
    </row>
    <row r="27" spans="1:13" ht="16.5" customHeight="1" x14ac:dyDescent="0.25">
      <c r="A27" s="49"/>
      <c r="B27" s="2328" t="s">
        <v>1311</v>
      </c>
      <c r="C27" s="2329"/>
      <c r="D27" s="2329"/>
      <c r="E27" s="2329"/>
      <c r="F27" s="2329"/>
      <c r="G27" s="733"/>
      <c r="H27" s="49"/>
      <c r="I27" s="49"/>
      <c r="J27" s="49"/>
      <c r="K27" s="49"/>
      <c r="L27" s="61"/>
      <c r="M27" s="61"/>
    </row>
    <row r="28" spans="1:13" ht="18" customHeight="1" x14ac:dyDescent="0.25">
      <c r="A28" s="49"/>
      <c r="B28" s="1849" t="s">
        <v>1305</v>
      </c>
      <c r="C28" s="1849"/>
      <c r="D28" s="1849"/>
      <c r="E28" s="1849"/>
      <c r="F28" s="932" t="s">
        <v>124</v>
      </c>
      <c r="G28" s="49"/>
      <c r="H28" s="49"/>
      <c r="I28" s="49"/>
      <c r="J28" s="49"/>
      <c r="K28" s="49"/>
      <c r="L28" s="61"/>
      <c r="M28" s="61"/>
    </row>
    <row r="29" spans="1:13" ht="28.5" customHeight="1" x14ac:dyDescent="0.25">
      <c r="A29" s="49"/>
      <c r="B29" s="1849" t="s">
        <v>1306</v>
      </c>
      <c r="C29" s="1849"/>
      <c r="D29" s="1849"/>
      <c r="E29" s="1849"/>
      <c r="F29" s="1236" t="s">
        <v>124</v>
      </c>
      <c r="G29" s="49"/>
      <c r="H29" s="49"/>
      <c r="I29" s="49"/>
      <c r="J29" s="49"/>
      <c r="K29" s="49"/>
      <c r="L29" s="61"/>
      <c r="M29" s="61"/>
    </row>
    <row r="30" spans="1:13" ht="18" customHeight="1" x14ac:dyDescent="0.25">
      <c r="A30" s="49"/>
      <c r="B30" s="1849" t="s">
        <v>1307</v>
      </c>
      <c r="C30" s="1849"/>
      <c r="D30" s="1849"/>
      <c r="E30" s="1849"/>
      <c r="F30" s="1236" t="s">
        <v>124</v>
      </c>
      <c r="G30" s="49"/>
      <c r="H30" s="49"/>
      <c r="I30" s="49"/>
      <c r="J30" s="49"/>
      <c r="K30" s="49"/>
      <c r="L30" s="61"/>
      <c r="M30" s="61"/>
    </row>
    <row r="31" spans="1:13" ht="18" customHeight="1" x14ac:dyDescent="0.25">
      <c r="A31" s="49"/>
      <c r="B31" s="1849" t="s">
        <v>1308</v>
      </c>
      <c r="C31" s="1849"/>
      <c r="D31" s="1849"/>
      <c r="E31" s="1849"/>
      <c r="F31" s="1236" t="s">
        <v>124</v>
      </c>
      <c r="G31" s="49"/>
      <c r="H31" s="49"/>
      <c r="I31" s="49"/>
      <c r="J31" s="49"/>
      <c r="K31" s="49"/>
      <c r="L31" s="61"/>
      <c r="M31" s="61"/>
    </row>
    <row r="32" spans="1:13" ht="18" customHeight="1" x14ac:dyDescent="0.25">
      <c r="A32" s="49"/>
      <c r="B32" s="1849" t="s">
        <v>1309</v>
      </c>
      <c r="C32" s="1849"/>
      <c r="D32" s="1849"/>
      <c r="E32" s="1849"/>
      <c r="F32" s="1236" t="s">
        <v>124</v>
      </c>
      <c r="G32" s="49"/>
      <c r="H32" s="49"/>
      <c r="I32" s="49"/>
      <c r="J32" s="49"/>
      <c r="K32" s="49"/>
      <c r="L32" s="61"/>
      <c r="M32" s="61"/>
    </row>
    <row r="33" spans="1:11" ht="17.25" customHeight="1" x14ac:dyDescent="0.25">
      <c r="A33" s="49"/>
      <c r="B33" s="50"/>
      <c r="C33" s="50"/>
      <c r="D33" s="50"/>
      <c r="E33" s="50"/>
      <c r="F33" s="49"/>
      <c r="G33" s="49"/>
      <c r="H33" s="49"/>
      <c r="I33" s="49"/>
      <c r="J33" s="49"/>
      <c r="K33" s="49"/>
    </row>
    <row r="34" spans="1:11" ht="19.5" customHeight="1" x14ac:dyDescent="0.25">
      <c r="A34" s="49"/>
      <c r="B34" s="2271" t="s">
        <v>548</v>
      </c>
      <c r="C34" s="2271"/>
      <c r="D34" s="2271"/>
      <c r="E34" s="257" t="str">
        <f>IF(COUNTIF(F26:F32,"Yes")=6,"Yes",IF(AND(F31="Yes",COUNTIF(F26:F32,"Yes")=5),"Yes","No"))</f>
        <v>No</v>
      </c>
      <c r="F34" s="49"/>
      <c r="G34" s="49"/>
      <c r="H34" s="49"/>
      <c r="I34" s="49"/>
      <c r="J34" s="49"/>
      <c r="K34" s="49"/>
    </row>
    <row r="35" spans="1:11" ht="19.5" customHeight="1" x14ac:dyDescent="0.25">
      <c r="A35" s="49"/>
      <c r="B35" s="50"/>
      <c r="C35" s="50"/>
      <c r="D35" s="50"/>
      <c r="E35" s="49"/>
      <c r="F35" s="49"/>
      <c r="G35" s="49"/>
      <c r="H35" s="49"/>
      <c r="I35" s="49"/>
      <c r="J35" s="49"/>
      <c r="K35" s="49"/>
    </row>
    <row r="36" spans="1:11" ht="18" customHeight="1" x14ac:dyDescent="0.25">
      <c r="A36" s="2287" t="s">
        <v>186</v>
      </c>
      <c r="B36" s="2287"/>
      <c r="C36" s="2287"/>
      <c r="D36" s="50"/>
      <c r="E36" s="50"/>
      <c r="F36" s="50"/>
      <c r="G36" s="50"/>
      <c r="H36" s="50"/>
      <c r="I36" s="50"/>
      <c r="J36" s="50"/>
      <c r="K36" s="50"/>
    </row>
    <row r="37" spans="1:11" x14ac:dyDescent="0.25">
      <c r="A37" s="49"/>
      <c r="B37" s="50"/>
      <c r="C37" s="50"/>
      <c r="D37" s="50"/>
      <c r="E37" s="49"/>
      <c r="F37" s="49"/>
      <c r="G37" s="49"/>
      <c r="H37" s="49"/>
      <c r="I37" s="49"/>
      <c r="J37" s="49"/>
      <c r="K37" s="49"/>
    </row>
    <row r="38" spans="1:11" ht="18" customHeight="1" x14ac:dyDescent="0.25">
      <c r="A38" s="49"/>
      <c r="B38" s="2280" t="s">
        <v>1739</v>
      </c>
      <c r="C38" s="2281"/>
      <c r="D38" s="2281"/>
      <c r="E38" s="2281"/>
      <c r="F38" s="2281"/>
      <c r="G38" s="1112" t="s">
        <v>1737</v>
      </c>
      <c r="H38" s="2282" t="s">
        <v>1738</v>
      </c>
      <c r="I38" s="2283"/>
      <c r="J38" s="49"/>
      <c r="K38" s="49"/>
    </row>
    <row r="39" spans="1:11" ht="30" customHeight="1" x14ac:dyDescent="0.25">
      <c r="A39" s="49"/>
      <c r="B39" s="2231" t="s">
        <v>2076</v>
      </c>
      <c r="C39" s="2232"/>
      <c r="D39" s="2232"/>
      <c r="E39" s="2232"/>
      <c r="F39" s="2233"/>
      <c r="G39" s="471" t="s">
        <v>124</v>
      </c>
      <c r="H39" s="1931"/>
      <c r="I39" s="1932"/>
      <c r="J39" s="49"/>
      <c r="K39" s="49"/>
    </row>
    <row r="40" spans="1:11" ht="19.5" customHeight="1" x14ac:dyDescent="0.25">
      <c r="A40" s="49"/>
      <c r="B40" s="50"/>
      <c r="C40" s="50"/>
      <c r="D40" s="50"/>
      <c r="E40" s="49"/>
      <c r="F40" s="49"/>
      <c r="G40" s="49"/>
      <c r="H40" s="49"/>
      <c r="I40" s="49"/>
      <c r="J40" s="49"/>
      <c r="K40" s="49"/>
    </row>
    <row r="41" spans="1:11" ht="18" customHeight="1" x14ac:dyDescent="0.25">
      <c r="A41" s="2287" t="s">
        <v>22</v>
      </c>
      <c r="B41" s="2287"/>
      <c r="C41" s="2287"/>
      <c r="D41" s="50"/>
      <c r="E41" s="50"/>
      <c r="F41" s="50"/>
      <c r="G41" s="50"/>
      <c r="H41" s="50"/>
      <c r="I41" s="50"/>
      <c r="J41" s="50"/>
      <c r="K41" s="50"/>
    </row>
    <row r="42" spans="1:11" x14ac:dyDescent="0.25">
      <c r="A42" s="49"/>
      <c r="B42" s="50"/>
      <c r="C42" s="50"/>
      <c r="D42" s="50"/>
      <c r="E42" s="50"/>
      <c r="F42" s="49"/>
      <c r="G42" s="49"/>
      <c r="H42" s="49"/>
      <c r="I42" s="49"/>
      <c r="J42" s="49"/>
      <c r="K42" s="49"/>
    </row>
    <row r="43" spans="1:11" ht="18" customHeight="1" x14ac:dyDescent="0.25">
      <c r="A43" s="49"/>
      <c r="B43" s="256" t="s">
        <v>53</v>
      </c>
      <c r="C43" s="10">
        <f>IF(E34="Yes",1,0)</f>
        <v>0</v>
      </c>
      <c r="D43" s="50"/>
      <c r="E43" s="49"/>
      <c r="F43" s="49"/>
      <c r="G43" s="49"/>
      <c r="H43" s="49"/>
      <c r="I43" s="49"/>
      <c r="J43" s="49"/>
      <c r="K43" s="49"/>
    </row>
    <row r="44" spans="1:11" ht="18" customHeight="1" x14ac:dyDescent="0.25">
      <c r="A44" s="49"/>
      <c r="B44" s="256" t="s">
        <v>492</v>
      </c>
      <c r="C44" s="181" t="str">
        <f>IF(AND(G39="Submitted",C43&gt;0),"Yes","No")</f>
        <v>No</v>
      </c>
      <c r="D44" s="50"/>
      <c r="E44" s="50"/>
      <c r="F44" s="49"/>
      <c r="G44" s="49"/>
      <c r="H44" s="49"/>
      <c r="I44" s="49"/>
      <c r="J44" s="49"/>
      <c r="K44" s="49"/>
    </row>
    <row r="45" spans="1:11" ht="21" customHeight="1" x14ac:dyDescent="0.25">
      <c r="A45" s="49"/>
      <c r="B45" s="50"/>
      <c r="C45" s="50"/>
      <c r="D45" s="50"/>
      <c r="E45" s="50"/>
      <c r="F45" s="49"/>
      <c r="G45" s="49"/>
      <c r="H45" s="49"/>
      <c r="I45" s="49"/>
      <c r="J45" s="49"/>
      <c r="K45" s="49"/>
    </row>
    <row r="46" spans="1:11" ht="18" customHeight="1" x14ac:dyDescent="0.25">
      <c r="A46" s="2278" t="s">
        <v>2077</v>
      </c>
      <c r="B46" s="2278"/>
      <c r="C46" s="2278"/>
      <c r="D46" s="2278"/>
      <c r="E46" s="2278"/>
      <c r="F46" s="2278"/>
      <c r="G46" s="2278"/>
      <c r="H46" s="2278"/>
      <c r="I46" s="2278"/>
      <c r="J46" s="2278"/>
      <c r="K46" s="2278"/>
    </row>
    <row r="47" spans="1:11" x14ac:dyDescent="0.25">
      <c r="A47" s="49"/>
      <c r="B47" s="50"/>
      <c r="C47" s="50"/>
      <c r="D47" s="50"/>
      <c r="E47" s="50"/>
      <c r="F47" s="49"/>
      <c r="G47" s="49"/>
      <c r="H47" s="49"/>
      <c r="I47" s="49"/>
      <c r="J47" s="49"/>
      <c r="K47" s="49"/>
    </row>
    <row r="48" spans="1:11" ht="16.5" customHeight="1" x14ac:dyDescent="0.25">
      <c r="A48" s="2287" t="s">
        <v>245</v>
      </c>
      <c r="B48" s="2287"/>
      <c r="C48" s="2287"/>
      <c r="D48" s="50"/>
      <c r="E48" s="50"/>
      <c r="F48" s="50"/>
      <c r="G48" s="50"/>
      <c r="H48" s="50"/>
      <c r="I48" s="50"/>
      <c r="J48" s="50"/>
      <c r="K48" s="50"/>
    </row>
    <row r="49" spans="1:13" x14ac:dyDescent="0.25">
      <c r="A49" s="49"/>
      <c r="B49" s="50"/>
      <c r="C49" s="50"/>
      <c r="D49" s="50"/>
      <c r="E49" s="50"/>
      <c r="F49" s="49"/>
      <c r="G49" s="49"/>
      <c r="H49" s="49"/>
      <c r="I49" s="49"/>
      <c r="J49" s="49"/>
      <c r="K49" s="49"/>
    </row>
    <row r="50" spans="1:13" ht="18" customHeight="1" x14ac:dyDescent="0.25">
      <c r="A50" s="49"/>
      <c r="B50" s="641" t="s">
        <v>2078</v>
      </c>
      <c r="C50" s="49"/>
      <c r="D50" s="49"/>
      <c r="E50" s="49"/>
      <c r="F50" s="49"/>
      <c r="G50" s="49"/>
      <c r="H50" s="49"/>
      <c r="I50" s="49"/>
      <c r="J50" s="49"/>
      <c r="K50" s="49"/>
    </row>
    <row r="51" spans="1:13" x14ac:dyDescent="0.25">
      <c r="A51" s="49"/>
      <c r="B51" s="49"/>
      <c r="C51" s="49"/>
      <c r="D51" s="49"/>
      <c r="E51" s="49"/>
      <c r="F51" s="49"/>
      <c r="G51" s="49"/>
      <c r="H51" s="49"/>
      <c r="I51" s="49"/>
      <c r="J51" s="49"/>
      <c r="K51" s="49"/>
    </row>
    <row r="52" spans="1:13" x14ac:dyDescent="0.25">
      <c r="A52" s="49"/>
      <c r="B52" s="1788" t="s">
        <v>2079</v>
      </c>
      <c r="C52" s="1789"/>
      <c r="D52" s="1789"/>
      <c r="E52" s="1789"/>
      <c r="F52" s="1789"/>
      <c r="G52" s="1789"/>
      <c r="H52" s="1789"/>
      <c r="I52" s="1790"/>
      <c r="J52" s="49"/>
      <c r="K52" s="49"/>
    </row>
    <row r="53" spans="1:13" ht="13.5" customHeight="1" x14ac:dyDescent="0.25">
      <c r="A53" s="49"/>
      <c r="B53" s="2325" t="s">
        <v>2065</v>
      </c>
      <c r="C53" s="2326"/>
      <c r="D53" s="2326"/>
      <c r="E53" s="2326"/>
      <c r="F53" s="2326"/>
      <c r="G53" s="2326"/>
      <c r="H53" s="2326"/>
      <c r="I53" s="2327"/>
      <c r="J53" s="49"/>
      <c r="K53" s="49"/>
    </row>
    <row r="54" spans="1:13" ht="13.5" customHeight="1" x14ac:dyDescent="0.25">
      <c r="A54" s="49"/>
      <c r="B54" s="2325"/>
      <c r="C54" s="2326"/>
      <c r="D54" s="2326"/>
      <c r="E54" s="2326"/>
      <c r="F54" s="2326"/>
      <c r="G54" s="2326"/>
      <c r="H54" s="2326"/>
      <c r="I54" s="2327"/>
      <c r="J54" s="49"/>
      <c r="K54" s="49"/>
    </row>
    <row r="55" spans="1:13" ht="13.5" customHeight="1" x14ac:dyDescent="0.25">
      <c r="A55" s="49"/>
      <c r="B55" s="1776"/>
      <c r="C55" s="1777"/>
      <c r="D55" s="1777"/>
      <c r="E55" s="1777"/>
      <c r="F55" s="1777"/>
      <c r="G55" s="1777"/>
      <c r="H55" s="1777"/>
      <c r="I55" s="1778"/>
      <c r="J55" s="49"/>
      <c r="K55" s="49"/>
      <c r="L55" s="61"/>
      <c r="M55" s="61"/>
    </row>
    <row r="56" spans="1:13" x14ac:dyDescent="0.25">
      <c r="A56" s="49"/>
      <c r="B56" s="49"/>
      <c r="C56" s="49"/>
      <c r="D56" s="49"/>
      <c r="E56" s="49"/>
      <c r="F56" s="49"/>
      <c r="G56" s="49"/>
      <c r="H56" s="49"/>
      <c r="I56" s="49"/>
      <c r="J56" s="49"/>
      <c r="K56" s="49"/>
    </row>
    <row r="57" spans="1:13" ht="21" customHeight="1" x14ac:dyDescent="0.25">
      <c r="A57" s="49"/>
      <c r="B57" s="642" t="s">
        <v>2086</v>
      </c>
      <c r="C57" s="50"/>
      <c r="D57" s="50"/>
      <c r="E57" s="50"/>
      <c r="F57" s="49"/>
      <c r="G57" s="49"/>
      <c r="H57" s="49"/>
      <c r="I57" s="49"/>
      <c r="J57" s="49"/>
      <c r="K57" s="49"/>
    </row>
    <row r="58" spans="1:13" ht="10.5" customHeight="1" x14ac:dyDescent="0.25">
      <c r="A58" s="49"/>
      <c r="B58" s="50"/>
      <c r="C58" s="50"/>
      <c r="D58" s="50"/>
      <c r="E58" s="50"/>
      <c r="F58" s="49"/>
      <c r="G58" s="49"/>
      <c r="H58" s="49"/>
      <c r="I58" s="49"/>
      <c r="J58" s="49"/>
      <c r="K58" s="49"/>
    </row>
    <row r="59" spans="1:13" ht="18" customHeight="1" x14ac:dyDescent="0.25">
      <c r="A59" s="49"/>
      <c r="B59" s="1843" t="str">
        <f>IF('Project information'!C7="Certification stage","• Has a User Guide been provided?","• Will a User Guide be provided?")</f>
        <v>• Will a User Guide be provided?</v>
      </c>
      <c r="C59" s="1843"/>
      <c r="D59" s="1843"/>
      <c r="E59" s="1843"/>
      <c r="F59" s="1089" t="s">
        <v>124</v>
      </c>
      <c r="G59" s="49"/>
      <c r="H59" s="49"/>
      <c r="I59" s="49"/>
      <c r="J59" s="49"/>
      <c r="K59" s="49"/>
      <c r="L59" s="61"/>
      <c r="M59" s="61"/>
    </row>
    <row r="60" spans="1:13" ht="16.5" customHeight="1" x14ac:dyDescent="0.25">
      <c r="A60" s="49"/>
      <c r="B60" s="2328"/>
      <c r="C60" s="2329"/>
      <c r="D60" s="2329"/>
      <c r="E60" s="2329"/>
      <c r="F60" s="2329"/>
      <c r="G60" s="733"/>
      <c r="H60" s="49"/>
      <c r="I60" s="49"/>
      <c r="J60" s="49"/>
      <c r="K60" s="49"/>
      <c r="L60" s="61"/>
      <c r="M60" s="61"/>
    </row>
    <row r="61" spans="1:13" ht="18" customHeight="1" x14ac:dyDescent="0.25">
      <c r="A61" s="49"/>
      <c r="B61" s="2280" t="s">
        <v>2080</v>
      </c>
      <c r="C61" s="2281"/>
      <c r="D61" s="2281"/>
      <c r="E61" s="2281"/>
      <c r="F61" s="2281"/>
      <c r="G61" s="733"/>
      <c r="H61" s="49"/>
      <c r="I61" s="49"/>
      <c r="J61" s="49"/>
      <c r="K61" s="49"/>
      <c r="L61" s="61"/>
      <c r="M61" s="61"/>
    </row>
    <row r="62" spans="1:13" ht="16.5" customHeight="1" x14ac:dyDescent="0.25">
      <c r="A62" s="49"/>
      <c r="B62" s="1843" t="s">
        <v>2075</v>
      </c>
      <c r="C62" s="1843"/>
      <c r="D62" s="1843"/>
      <c r="E62" s="1843"/>
      <c r="F62" s="1089" t="s">
        <v>124</v>
      </c>
      <c r="G62" s="49"/>
      <c r="H62" s="49"/>
      <c r="I62" s="49"/>
      <c r="J62" s="49"/>
      <c r="K62" s="49"/>
      <c r="L62" s="61"/>
      <c r="M62" s="61"/>
    </row>
    <row r="63" spans="1:13" ht="16.5" customHeight="1" x14ac:dyDescent="0.25">
      <c r="A63" s="49"/>
      <c r="B63" s="1843" t="s">
        <v>2066</v>
      </c>
      <c r="C63" s="1843"/>
      <c r="D63" s="1843"/>
      <c r="E63" s="1843"/>
      <c r="F63" s="1089" t="s">
        <v>124</v>
      </c>
      <c r="G63" s="49"/>
      <c r="H63" s="49"/>
      <c r="I63" s="49"/>
      <c r="J63" s="49"/>
      <c r="K63" s="49"/>
      <c r="L63" s="61"/>
      <c r="M63" s="61"/>
    </row>
    <row r="64" spans="1:13" ht="16.5" customHeight="1" x14ac:dyDescent="0.25">
      <c r="A64" s="49"/>
      <c r="B64" s="1843" t="s">
        <v>2067</v>
      </c>
      <c r="C64" s="1843"/>
      <c r="D64" s="1843"/>
      <c r="E64" s="1843"/>
      <c r="F64" s="1089" t="s">
        <v>124</v>
      </c>
      <c r="G64" s="49"/>
      <c r="H64" s="49"/>
      <c r="I64" s="49"/>
      <c r="J64" s="49"/>
      <c r="K64" s="49"/>
      <c r="L64" s="61"/>
      <c r="M64" s="61"/>
    </row>
    <row r="65" spans="1:13" ht="16.5" customHeight="1" x14ac:dyDescent="0.25">
      <c r="A65" s="49"/>
      <c r="B65" s="1843" t="s">
        <v>2068</v>
      </c>
      <c r="C65" s="1843"/>
      <c r="D65" s="1843"/>
      <c r="E65" s="1843"/>
      <c r="F65" s="1089" t="s">
        <v>124</v>
      </c>
      <c r="G65" s="49"/>
      <c r="H65" s="49"/>
      <c r="I65" s="49"/>
      <c r="J65" s="49"/>
      <c r="K65" s="49"/>
      <c r="L65" s="61"/>
      <c r="M65" s="61"/>
    </row>
    <row r="66" spans="1:13" ht="16.5" customHeight="1" x14ac:dyDescent="0.25">
      <c r="A66" s="49"/>
      <c r="B66" s="1843" t="s">
        <v>2069</v>
      </c>
      <c r="C66" s="1843"/>
      <c r="D66" s="1843"/>
      <c r="E66" s="1843"/>
      <c r="F66" s="1089" t="s">
        <v>124</v>
      </c>
      <c r="G66" s="49"/>
      <c r="H66" s="49"/>
      <c r="I66" s="49"/>
      <c r="J66" s="49"/>
      <c r="K66" s="49"/>
      <c r="L66" s="61"/>
      <c r="M66" s="61"/>
    </row>
    <row r="67" spans="1:13" ht="16.5" customHeight="1" x14ac:dyDescent="0.25">
      <c r="A67" s="49"/>
      <c r="B67" s="1843" t="s">
        <v>2070</v>
      </c>
      <c r="C67" s="1843"/>
      <c r="D67" s="1843"/>
      <c r="E67" s="1843"/>
      <c r="F67" s="1089" t="s">
        <v>124</v>
      </c>
      <c r="G67" s="49"/>
      <c r="H67" s="49"/>
      <c r="I67" s="49"/>
      <c r="J67" s="49"/>
      <c r="K67" s="49"/>
    </row>
    <row r="68" spans="1:13" ht="16.5" customHeight="1" x14ac:dyDescent="0.25">
      <c r="A68" s="49"/>
      <c r="B68" s="1843" t="s">
        <v>2071</v>
      </c>
      <c r="C68" s="1843"/>
      <c r="D68" s="1843"/>
      <c r="E68" s="1843"/>
      <c r="F68" s="1089" t="s">
        <v>124</v>
      </c>
      <c r="G68" s="49"/>
      <c r="H68" s="49"/>
      <c r="I68" s="49"/>
      <c r="J68" s="49"/>
      <c r="K68" s="49"/>
    </row>
    <row r="69" spans="1:13" ht="16.5" customHeight="1" x14ac:dyDescent="0.25">
      <c r="A69" s="49"/>
      <c r="B69" s="1843" t="s">
        <v>2072</v>
      </c>
      <c r="C69" s="1843"/>
      <c r="D69" s="1843"/>
      <c r="E69" s="1843"/>
      <c r="F69" s="1089" t="s">
        <v>124</v>
      </c>
      <c r="G69" s="49"/>
      <c r="H69" s="49"/>
      <c r="I69" s="49"/>
      <c r="J69" s="49"/>
      <c r="K69" s="49"/>
    </row>
    <row r="70" spans="1:13" ht="16.5" customHeight="1" x14ac:dyDescent="0.25">
      <c r="A70" s="49"/>
      <c r="B70" s="1843" t="s">
        <v>2073</v>
      </c>
      <c r="C70" s="1843"/>
      <c r="D70" s="1843"/>
      <c r="E70" s="1843"/>
      <c r="F70" s="1089" t="s">
        <v>124</v>
      </c>
      <c r="G70" s="49"/>
      <c r="H70" s="49"/>
      <c r="I70" s="49"/>
      <c r="J70" s="49"/>
      <c r="K70" s="49"/>
    </row>
    <row r="71" spans="1:13" ht="17.25" customHeight="1" x14ac:dyDescent="0.25">
      <c r="A71" s="49"/>
      <c r="B71" s="49"/>
      <c r="C71" s="49"/>
      <c r="D71" s="49"/>
      <c r="E71" s="49"/>
      <c r="F71" s="49"/>
      <c r="G71" s="49"/>
      <c r="H71" s="49"/>
      <c r="I71" s="49"/>
      <c r="J71" s="49"/>
      <c r="K71" s="49"/>
    </row>
    <row r="72" spans="1:13" ht="18" customHeight="1" x14ac:dyDescent="0.25">
      <c r="A72" s="49"/>
      <c r="B72" s="2271" t="s">
        <v>2074</v>
      </c>
      <c r="C72" s="2271"/>
      <c r="D72" s="2271"/>
      <c r="E72" s="257" t="str">
        <f>IF(AND(F59="Yes",COUNTIF(F62:F70,"Yes")=9),"Yes","No")</f>
        <v>No</v>
      </c>
      <c r="F72" s="49"/>
      <c r="G72" s="49"/>
      <c r="H72" s="49"/>
      <c r="I72" s="49"/>
      <c r="J72" s="49"/>
      <c r="K72" s="49"/>
    </row>
    <row r="73" spans="1:13" ht="19.5" customHeight="1" x14ac:dyDescent="0.25">
      <c r="A73" s="49"/>
      <c r="B73" s="50"/>
      <c r="C73" s="50"/>
      <c r="D73" s="50"/>
      <c r="E73" s="49"/>
      <c r="F73" s="49"/>
      <c r="G73" s="49"/>
      <c r="H73" s="49"/>
      <c r="I73" s="49"/>
      <c r="J73" s="49"/>
      <c r="K73" s="49"/>
    </row>
    <row r="74" spans="1:13" ht="18" customHeight="1" x14ac:dyDescent="0.25">
      <c r="A74" s="2287" t="s">
        <v>186</v>
      </c>
      <c r="B74" s="2287"/>
      <c r="C74" s="2287"/>
      <c r="D74" s="50"/>
      <c r="E74" s="50"/>
      <c r="F74" s="50"/>
      <c r="G74" s="50"/>
      <c r="H74" s="50"/>
      <c r="I74" s="50"/>
      <c r="J74" s="50"/>
      <c r="K74" s="50"/>
    </row>
    <row r="75" spans="1:13" x14ac:dyDescent="0.25">
      <c r="A75" s="49"/>
      <c r="B75" s="50"/>
      <c r="C75" s="50"/>
      <c r="D75" s="50"/>
      <c r="E75" s="49"/>
      <c r="F75" s="49"/>
      <c r="G75" s="49"/>
      <c r="H75" s="49"/>
      <c r="I75" s="49"/>
      <c r="J75" s="49"/>
      <c r="K75" s="49"/>
    </row>
    <row r="76" spans="1:13" ht="18" customHeight="1" x14ac:dyDescent="0.25">
      <c r="A76" s="49"/>
      <c r="B76" s="2280" t="s">
        <v>1739</v>
      </c>
      <c r="C76" s="2281"/>
      <c r="D76" s="2281"/>
      <c r="E76" s="2281"/>
      <c r="F76" s="2281"/>
      <c r="G76" s="1113" t="s">
        <v>1737</v>
      </c>
      <c r="H76" s="2282" t="s">
        <v>1738</v>
      </c>
      <c r="I76" s="2283"/>
      <c r="J76" s="49"/>
      <c r="K76" s="49"/>
    </row>
    <row r="77" spans="1:13" ht="24" customHeight="1" x14ac:dyDescent="0.25">
      <c r="A77" s="49"/>
      <c r="B77" s="2231" t="s">
        <v>2081</v>
      </c>
      <c r="C77" s="2232"/>
      <c r="D77" s="2232"/>
      <c r="E77" s="2232"/>
      <c r="F77" s="2233"/>
      <c r="G77" s="1089" t="s">
        <v>124</v>
      </c>
      <c r="H77" s="1931"/>
      <c r="I77" s="1932"/>
      <c r="J77" s="49"/>
      <c r="K77" s="49"/>
    </row>
    <row r="78" spans="1:13" ht="19.5" customHeight="1" x14ac:dyDescent="0.25">
      <c r="A78" s="49"/>
      <c r="B78" s="50"/>
      <c r="C78" s="50"/>
      <c r="D78" s="50"/>
      <c r="E78" s="49"/>
      <c r="F78" s="49"/>
      <c r="G78" s="49"/>
      <c r="H78" s="49"/>
      <c r="I78" s="49"/>
      <c r="J78" s="49"/>
      <c r="K78" s="49"/>
    </row>
    <row r="79" spans="1:13" ht="18" customHeight="1" x14ac:dyDescent="0.25">
      <c r="A79" s="2287" t="s">
        <v>22</v>
      </c>
      <c r="B79" s="2287"/>
      <c r="C79" s="2287"/>
      <c r="D79" s="50"/>
      <c r="E79" s="50"/>
      <c r="F79" s="50"/>
      <c r="G79" s="50"/>
      <c r="H79" s="50"/>
      <c r="I79" s="50"/>
      <c r="J79" s="50"/>
      <c r="K79" s="50"/>
    </row>
    <row r="80" spans="1:13" x14ac:dyDescent="0.25">
      <c r="A80" s="49"/>
      <c r="B80" s="50"/>
      <c r="C80" s="50"/>
      <c r="D80" s="50"/>
      <c r="E80" s="50"/>
      <c r="F80" s="49"/>
      <c r="G80" s="49"/>
      <c r="H80" s="49"/>
      <c r="I80" s="49"/>
      <c r="J80" s="49"/>
      <c r="K80" s="49"/>
    </row>
    <row r="81" spans="1:13" ht="18" customHeight="1" x14ac:dyDescent="0.25">
      <c r="A81" s="49"/>
      <c r="B81" s="256" t="s">
        <v>53</v>
      </c>
      <c r="C81" s="1099">
        <f>IF(E72="Yes",1,0)</f>
        <v>0</v>
      </c>
      <c r="D81" s="50"/>
      <c r="E81" s="49"/>
      <c r="F81" s="49"/>
      <c r="G81" s="49"/>
      <c r="H81" s="49"/>
      <c r="I81" s="49"/>
      <c r="J81" s="49"/>
      <c r="K81" s="49"/>
    </row>
    <row r="82" spans="1:13" ht="18" customHeight="1" x14ac:dyDescent="0.25">
      <c r="A82" s="49"/>
      <c r="B82" s="256" t="s">
        <v>492</v>
      </c>
      <c r="C82" s="181" t="str">
        <f>IF(AND(G77="Submitted",C81&gt;0),"Yes","No")</f>
        <v>No</v>
      </c>
      <c r="D82" s="50"/>
      <c r="E82" s="50"/>
      <c r="F82" s="49"/>
      <c r="G82" s="49"/>
      <c r="H82" s="49"/>
      <c r="I82" s="49"/>
      <c r="J82" s="49"/>
      <c r="K82" s="49"/>
    </row>
    <row r="83" spans="1:13" ht="21" customHeight="1" x14ac:dyDescent="0.25">
      <c r="A83" s="49"/>
      <c r="B83" s="50"/>
      <c r="C83" s="50"/>
      <c r="D83" s="50"/>
      <c r="E83" s="50"/>
      <c r="F83" s="49"/>
      <c r="G83" s="49"/>
      <c r="H83" s="49"/>
      <c r="I83" s="49"/>
      <c r="J83" s="49"/>
      <c r="K83" s="49"/>
    </row>
    <row r="84" spans="1:13" ht="18" customHeight="1" x14ac:dyDescent="0.25">
      <c r="A84" s="2278" t="s">
        <v>2083</v>
      </c>
      <c r="B84" s="2278"/>
      <c r="C84" s="2278"/>
      <c r="D84" s="2278"/>
      <c r="E84" s="2278"/>
      <c r="F84" s="2278"/>
      <c r="G84" s="2278"/>
      <c r="H84" s="2278"/>
      <c r="I84" s="2278"/>
      <c r="J84" s="2278"/>
      <c r="K84" s="2278"/>
    </row>
    <row r="85" spans="1:13" x14ac:dyDescent="0.25">
      <c r="A85" s="49"/>
      <c r="B85" s="50"/>
      <c r="C85" s="50"/>
      <c r="D85" s="50"/>
      <c r="E85" s="50"/>
      <c r="F85" s="49"/>
      <c r="G85" s="49"/>
      <c r="H85" s="49"/>
      <c r="I85" s="49"/>
      <c r="J85" s="49"/>
      <c r="K85" s="49"/>
    </row>
    <row r="86" spans="1:13" ht="16.5" customHeight="1" x14ac:dyDescent="0.25">
      <c r="A86" s="2287" t="s">
        <v>245</v>
      </c>
      <c r="B86" s="2287"/>
      <c r="C86" s="2287"/>
      <c r="D86" s="50"/>
      <c r="E86" s="50"/>
      <c r="F86" s="50"/>
      <c r="G86" s="50"/>
      <c r="H86" s="50"/>
      <c r="I86" s="50"/>
      <c r="J86" s="50"/>
      <c r="K86" s="50"/>
    </row>
    <row r="87" spans="1:13" x14ac:dyDescent="0.25">
      <c r="A87" s="49"/>
      <c r="B87" s="50"/>
      <c r="C87" s="50"/>
      <c r="D87" s="50"/>
      <c r="E87" s="50"/>
      <c r="F87" s="49"/>
      <c r="G87" s="49"/>
      <c r="H87" s="49"/>
      <c r="I87" s="49"/>
      <c r="J87" s="49"/>
      <c r="K87" s="49"/>
    </row>
    <row r="88" spans="1:13" ht="18" customHeight="1" x14ac:dyDescent="0.25">
      <c r="A88" s="49"/>
      <c r="B88" s="641" t="s">
        <v>2085</v>
      </c>
      <c r="C88" s="49"/>
      <c r="D88" s="49"/>
      <c r="E88" s="49"/>
      <c r="F88" s="49"/>
      <c r="G88" s="49"/>
      <c r="H88" s="49"/>
      <c r="I88" s="49"/>
      <c r="J88" s="49"/>
      <c r="K88" s="49"/>
    </row>
    <row r="89" spans="1:13" ht="15" customHeight="1" x14ac:dyDescent="0.25">
      <c r="A89" s="49"/>
      <c r="B89" s="49"/>
      <c r="C89" s="49"/>
      <c r="D89" s="49"/>
      <c r="E89" s="49"/>
      <c r="F89" s="49"/>
      <c r="G89" s="49"/>
      <c r="H89" s="49"/>
      <c r="I89" s="49"/>
      <c r="J89" s="49"/>
      <c r="K89" s="49"/>
    </row>
    <row r="90" spans="1:13" ht="15.75" customHeight="1" x14ac:dyDescent="0.25">
      <c r="A90" s="49"/>
      <c r="B90" s="2332" t="s">
        <v>2116</v>
      </c>
      <c r="C90" s="2333"/>
      <c r="D90" s="2333"/>
      <c r="E90" s="2333"/>
      <c r="F90" s="2333"/>
      <c r="G90" s="2333"/>
      <c r="H90" s="2333"/>
      <c r="I90" s="2334"/>
      <c r="J90" s="49"/>
      <c r="K90" s="49"/>
    </row>
    <row r="91" spans="1:13" ht="19.5" customHeight="1" x14ac:dyDescent="0.25">
      <c r="A91" s="49"/>
      <c r="B91" s="2325" t="s">
        <v>2117</v>
      </c>
      <c r="C91" s="2326"/>
      <c r="D91" s="2326"/>
      <c r="E91" s="2326"/>
      <c r="F91" s="2326"/>
      <c r="G91" s="2326"/>
      <c r="H91" s="2326"/>
      <c r="I91" s="2327"/>
      <c r="J91" s="49"/>
      <c r="K91" s="49"/>
    </row>
    <row r="92" spans="1:13" ht="19.5" customHeight="1" x14ac:dyDescent="0.25">
      <c r="A92" s="49"/>
      <c r="B92" s="1776"/>
      <c r="C92" s="1777"/>
      <c r="D92" s="1777"/>
      <c r="E92" s="1777"/>
      <c r="F92" s="1777"/>
      <c r="G92" s="1777"/>
      <c r="H92" s="1777"/>
      <c r="I92" s="1778"/>
      <c r="J92" s="49"/>
      <c r="K92" s="49"/>
    </row>
    <row r="93" spans="1:13" x14ac:dyDescent="0.25">
      <c r="A93" s="49"/>
      <c r="B93" s="49"/>
      <c r="C93" s="49"/>
      <c r="D93" s="49"/>
      <c r="E93" s="49"/>
      <c r="F93" s="49"/>
      <c r="G93" s="49"/>
      <c r="H93" s="49"/>
      <c r="I93" s="49"/>
      <c r="J93" s="49"/>
      <c r="K93" s="49"/>
    </row>
    <row r="94" spans="1:13" x14ac:dyDescent="0.25">
      <c r="A94" s="49"/>
      <c r="B94" s="642" t="s">
        <v>2087</v>
      </c>
      <c r="C94" s="50"/>
      <c r="D94" s="50"/>
      <c r="E94" s="50"/>
      <c r="F94" s="49"/>
      <c r="G94" s="49"/>
      <c r="H94" s="49"/>
      <c r="I94" s="49"/>
      <c r="J94" s="49"/>
      <c r="K94" s="49"/>
    </row>
    <row r="95" spans="1:13" ht="10.5" customHeight="1" x14ac:dyDescent="0.25">
      <c r="A95" s="49"/>
      <c r="B95" s="50"/>
      <c r="C95" s="50"/>
      <c r="D95" s="50"/>
      <c r="E95" s="50"/>
      <c r="F95" s="49"/>
      <c r="G95" s="49"/>
      <c r="H95" s="49"/>
      <c r="I95" s="49"/>
      <c r="J95" s="49"/>
      <c r="K95" s="49"/>
    </row>
    <row r="96" spans="1:13" ht="18" customHeight="1" x14ac:dyDescent="0.25">
      <c r="A96" s="49"/>
      <c r="B96" s="1843" t="str">
        <f>IF('Project information'!C7="Certification stage","• Has a permanent green awareness campaign been implemented?","• Will a permanent green awareness campaign be implemented?")</f>
        <v>• Will a permanent green awareness campaign be implemented?</v>
      </c>
      <c r="C96" s="1843"/>
      <c r="D96" s="1843"/>
      <c r="E96" s="1843"/>
      <c r="F96" s="1089" t="s">
        <v>124</v>
      </c>
      <c r="G96" s="49"/>
      <c r="H96" s="49"/>
      <c r="I96" s="49"/>
      <c r="J96" s="49"/>
      <c r="K96" s="49"/>
      <c r="L96" s="61"/>
      <c r="M96" s="61"/>
    </row>
    <row r="97" spans="1:13" ht="16.5" customHeight="1" x14ac:dyDescent="0.25">
      <c r="A97" s="49"/>
      <c r="B97" s="2330"/>
      <c r="C97" s="2331"/>
      <c r="D97" s="2331"/>
      <c r="E97" s="2331"/>
      <c r="F97" s="2331"/>
      <c r="G97" s="733"/>
      <c r="H97" s="49"/>
      <c r="I97" s="49"/>
      <c r="J97" s="49"/>
      <c r="K97" s="49"/>
      <c r="L97" s="61"/>
      <c r="M97" s="61"/>
    </row>
    <row r="98" spans="1:13" ht="21" customHeight="1" x14ac:dyDescent="0.25">
      <c r="A98" s="49"/>
      <c r="B98" s="2324" t="str">
        <f>IF('Project information'!C7="Certification stage","If yes, is the following information displayed in the green awareness campaign?","If yes, will the following information be displayed in the green awareness campaign?")</f>
        <v>If yes, will the following information be displayed in the green awareness campaign?</v>
      </c>
      <c r="C98" s="2324"/>
      <c r="D98" s="2324"/>
      <c r="E98" s="2324"/>
      <c r="F98" s="2324"/>
      <c r="G98" s="2324"/>
      <c r="H98" s="49"/>
      <c r="I98" s="49"/>
      <c r="J98" s="49"/>
      <c r="K98" s="49"/>
      <c r="L98" s="61"/>
      <c r="M98" s="61"/>
    </row>
    <row r="99" spans="1:13" ht="16.5" customHeight="1" x14ac:dyDescent="0.25">
      <c r="A99" s="49"/>
      <c r="B99" s="1843" t="s">
        <v>2088</v>
      </c>
      <c r="C99" s="1843"/>
      <c r="D99" s="1843"/>
      <c r="E99" s="1843"/>
      <c r="F99" s="1843"/>
      <c r="G99" s="1089" t="s">
        <v>124</v>
      </c>
      <c r="H99" s="49"/>
      <c r="I99" s="49"/>
      <c r="J99" s="49"/>
      <c r="K99" s="49"/>
      <c r="L99" s="61"/>
      <c r="M99" s="61"/>
    </row>
    <row r="100" spans="1:13" ht="16.5" customHeight="1" x14ac:dyDescent="0.25">
      <c r="A100" s="49"/>
      <c r="B100" s="1843" t="s">
        <v>2118</v>
      </c>
      <c r="C100" s="1843"/>
      <c r="D100" s="1843"/>
      <c r="E100" s="1843"/>
      <c r="F100" s="1843"/>
      <c r="G100" s="1089" t="s">
        <v>124</v>
      </c>
      <c r="H100" s="49"/>
      <c r="I100" s="49"/>
      <c r="J100" s="49"/>
      <c r="K100" s="49"/>
      <c r="L100" s="61"/>
      <c r="M100" s="61"/>
    </row>
    <row r="101" spans="1:13" ht="16.5" customHeight="1" x14ac:dyDescent="0.25">
      <c r="A101" s="49"/>
      <c r="B101" s="1843" t="s">
        <v>2119</v>
      </c>
      <c r="C101" s="1843"/>
      <c r="D101" s="1843"/>
      <c r="E101" s="1843"/>
      <c r="F101" s="1843"/>
      <c r="G101" s="1089" t="s">
        <v>124</v>
      </c>
      <c r="H101" s="49"/>
      <c r="I101" s="49"/>
      <c r="J101" s="49"/>
      <c r="K101" s="49"/>
      <c r="L101" s="61"/>
      <c r="M101" s="61"/>
    </row>
    <row r="102" spans="1:13" ht="16.5" customHeight="1" x14ac:dyDescent="0.25">
      <c r="A102" s="49"/>
      <c r="B102" s="1843" t="s">
        <v>2120</v>
      </c>
      <c r="C102" s="1843"/>
      <c r="D102" s="1843"/>
      <c r="E102" s="1843"/>
      <c r="F102" s="1843"/>
      <c r="G102" s="1089" t="s">
        <v>124</v>
      </c>
      <c r="H102" s="49"/>
      <c r="I102" s="49"/>
      <c r="J102" s="49"/>
      <c r="K102" s="49"/>
      <c r="L102" s="61"/>
      <c r="M102" s="61"/>
    </row>
    <row r="103" spans="1:13" ht="17.25" customHeight="1" x14ac:dyDescent="0.25">
      <c r="A103" s="49"/>
      <c r="B103" s="50"/>
      <c r="C103" s="50"/>
      <c r="D103" s="50"/>
      <c r="E103" s="50"/>
      <c r="F103" s="49"/>
      <c r="G103" s="49"/>
      <c r="H103" s="49"/>
      <c r="I103" s="49"/>
      <c r="J103" s="49"/>
      <c r="K103" s="49"/>
    </row>
    <row r="104" spans="1:13" ht="18" customHeight="1" x14ac:dyDescent="0.25">
      <c r="A104" s="49"/>
      <c r="B104" s="2335" t="s">
        <v>2089</v>
      </c>
      <c r="C104" s="2335"/>
      <c r="D104" s="2335"/>
      <c r="E104" s="79" t="str">
        <f>IF(AND(F96="Yes",COUNTIF(G99:G102,"Yes")=4),"Yes","No")</f>
        <v>No</v>
      </c>
      <c r="F104" s="49"/>
      <c r="G104" s="49"/>
      <c r="H104" s="49"/>
      <c r="I104" s="49"/>
      <c r="J104" s="49"/>
      <c r="K104" s="49"/>
    </row>
    <row r="105" spans="1:13" ht="19.5" customHeight="1" x14ac:dyDescent="0.25">
      <c r="A105" s="49"/>
      <c r="B105" s="50"/>
      <c r="C105" s="50"/>
      <c r="D105" s="50"/>
      <c r="E105" s="49"/>
      <c r="F105" s="49"/>
      <c r="G105" s="49"/>
      <c r="H105" s="49"/>
      <c r="I105" s="49"/>
      <c r="J105" s="49"/>
      <c r="K105" s="49"/>
    </row>
    <row r="106" spans="1:13" ht="18" customHeight="1" x14ac:dyDescent="0.25">
      <c r="A106" s="2287" t="s">
        <v>186</v>
      </c>
      <c r="B106" s="2287"/>
      <c r="C106" s="2287"/>
      <c r="D106" s="50"/>
      <c r="E106" s="50"/>
      <c r="F106" s="50"/>
      <c r="G106" s="50"/>
      <c r="H106" s="50"/>
      <c r="I106" s="50"/>
      <c r="J106" s="50"/>
      <c r="K106" s="50"/>
    </row>
    <row r="107" spans="1:13" x14ac:dyDescent="0.25">
      <c r="A107" s="49"/>
      <c r="B107" s="50"/>
      <c r="C107" s="50"/>
      <c r="D107" s="50"/>
      <c r="E107" s="49"/>
      <c r="F107" s="49"/>
      <c r="G107" s="49"/>
      <c r="H107" s="49"/>
      <c r="I107" s="49"/>
      <c r="J107" s="49"/>
      <c r="K107" s="49"/>
    </row>
    <row r="108" spans="1:13" ht="18" customHeight="1" x14ac:dyDescent="0.25">
      <c r="A108" s="49"/>
      <c r="B108" s="2280" t="s">
        <v>1739</v>
      </c>
      <c r="C108" s="2281"/>
      <c r="D108" s="2281"/>
      <c r="E108" s="2281"/>
      <c r="F108" s="2281"/>
      <c r="G108" s="1113" t="s">
        <v>1737</v>
      </c>
      <c r="H108" s="2282" t="s">
        <v>1738</v>
      </c>
      <c r="I108" s="2283"/>
      <c r="J108" s="49"/>
      <c r="K108" s="49"/>
    </row>
    <row r="109" spans="1:13" ht="24" customHeight="1" x14ac:dyDescent="0.25">
      <c r="A109" s="49"/>
      <c r="B109" s="2231" t="s">
        <v>2090</v>
      </c>
      <c r="C109" s="2232"/>
      <c r="D109" s="2232"/>
      <c r="E109" s="2232"/>
      <c r="F109" s="2233"/>
      <c r="G109" s="1089" t="s">
        <v>124</v>
      </c>
      <c r="H109" s="1931"/>
      <c r="I109" s="1932"/>
      <c r="J109" s="49"/>
      <c r="K109" s="49"/>
    </row>
    <row r="110" spans="1:13" ht="19.5" customHeight="1" x14ac:dyDescent="0.25">
      <c r="A110" s="49"/>
      <c r="B110" s="50"/>
      <c r="C110" s="50"/>
      <c r="D110" s="50"/>
      <c r="E110" s="49"/>
      <c r="F110" s="49"/>
      <c r="G110" s="49"/>
      <c r="H110" s="49"/>
      <c r="I110" s="49"/>
      <c r="J110" s="49"/>
      <c r="K110" s="49"/>
    </row>
    <row r="111" spans="1:13" ht="18" customHeight="1" x14ac:dyDescent="0.25">
      <c r="A111" s="2287" t="s">
        <v>22</v>
      </c>
      <c r="B111" s="2287"/>
      <c r="C111" s="2287"/>
      <c r="D111" s="50"/>
      <c r="E111" s="50"/>
      <c r="F111" s="50"/>
      <c r="G111" s="50"/>
      <c r="H111" s="50"/>
      <c r="I111" s="50"/>
      <c r="J111" s="50"/>
      <c r="K111" s="50"/>
    </row>
    <row r="112" spans="1:13" x14ac:dyDescent="0.25">
      <c r="A112" s="49"/>
      <c r="B112" s="50"/>
      <c r="C112" s="50"/>
      <c r="D112" s="50"/>
      <c r="E112" s="50"/>
      <c r="F112" s="49"/>
      <c r="G112" s="49"/>
      <c r="H112" s="49"/>
      <c r="I112" s="49"/>
      <c r="J112" s="49"/>
      <c r="K112" s="49"/>
    </row>
    <row r="113" spans="1:11" ht="18" customHeight="1" x14ac:dyDescent="0.25">
      <c r="A113" s="49"/>
      <c r="B113" s="256" t="s">
        <v>53</v>
      </c>
      <c r="C113" s="1099">
        <f>IF(E104="Yes",1,0)</f>
        <v>0</v>
      </c>
      <c r="D113" s="50"/>
      <c r="E113" s="49"/>
      <c r="F113" s="49"/>
      <c r="G113" s="49"/>
      <c r="H113" s="49"/>
      <c r="I113" s="49"/>
      <c r="J113" s="49"/>
      <c r="K113" s="49"/>
    </row>
    <row r="114" spans="1:11" ht="18" customHeight="1" x14ac:dyDescent="0.25">
      <c r="A114" s="49"/>
      <c r="B114" s="256" t="s">
        <v>492</v>
      </c>
      <c r="C114" s="181" t="str">
        <f>IF(AND(G109="Submitted",C113&gt;0),"Yes","No")</f>
        <v>No</v>
      </c>
      <c r="D114" s="50"/>
      <c r="E114" s="50"/>
      <c r="F114" s="49"/>
      <c r="G114" s="49"/>
      <c r="H114" s="49"/>
      <c r="I114" s="49"/>
      <c r="J114" s="49"/>
      <c r="K114" s="49"/>
    </row>
    <row r="115" spans="1:11" ht="21" customHeight="1" x14ac:dyDescent="0.25">
      <c r="A115" s="49"/>
      <c r="B115" s="50"/>
      <c r="C115" s="50"/>
      <c r="D115" s="50"/>
      <c r="E115" s="50"/>
      <c r="F115" s="49"/>
      <c r="G115" s="49"/>
      <c r="H115" s="49"/>
      <c r="I115" s="49"/>
      <c r="J115" s="49"/>
      <c r="K115" s="49"/>
    </row>
    <row r="116" spans="1:11" ht="15" hidden="1" customHeight="1" x14ac:dyDescent="0.25"/>
    <row r="117" spans="1:11" ht="15" hidden="1" customHeight="1" x14ac:dyDescent="0.25"/>
    <row r="118" spans="1:11" ht="15" hidden="1" customHeight="1" x14ac:dyDescent="0.25"/>
    <row r="119" spans="1:11" ht="15" hidden="1" customHeight="1" x14ac:dyDescent="0.25"/>
  </sheetData>
  <sheetProtection algorithmName="SHA-512" hashValue="FGL9RY4FlcwBciYP2EdWZhw4oGZhxxSCu3UQKuF+Y56/vAqyBwRV2AVk1e9G7D74cT0rNcqTEOiOeWNotH19Kg==" saltValue="lTAacn58H46D96s1sZf3Sg==" spinCount="100000" sheet="1" objects="1" scenarios="1"/>
  <dataConsolidate/>
  <mergeCells count="66">
    <mergeCell ref="A111:C111"/>
    <mergeCell ref="B52:I52"/>
    <mergeCell ref="B53:I55"/>
    <mergeCell ref="B61:F61"/>
    <mergeCell ref="B67:E67"/>
    <mergeCell ref="B68:E68"/>
    <mergeCell ref="B69:E69"/>
    <mergeCell ref="B70:E70"/>
    <mergeCell ref="B90:I90"/>
    <mergeCell ref="B104:D104"/>
    <mergeCell ref="A106:C106"/>
    <mergeCell ref="B108:F108"/>
    <mergeCell ref="H108:I108"/>
    <mergeCell ref="B109:F109"/>
    <mergeCell ref="H109:I109"/>
    <mergeCell ref="B101:F101"/>
    <mergeCell ref="B102:F102"/>
    <mergeCell ref="A79:C79"/>
    <mergeCell ref="A84:K84"/>
    <mergeCell ref="A86:C86"/>
    <mergeCell ref="B96:E96"/>
    <mergeCell ref="B97:F97"/>
    <mergeCell ref="H76:I76"/>
    <mergeCell ref="B77:F77"/>
    <mergeCell ref="H77:I77"/>
    <mergeCell ref="B100:F100"/>
    <mergeCell ref="B99:F99"/>
    <mergeCell ref="A5:K7"/>
    <mergeCell ref="B27:F27"/>
    <mergeCell ref="A1:K1"/>
    <mergeCell ref="A9:K9"/>
    <mergeCell ref="H2:I4"/>
    <mergeCell ref="B13:E13"/>
    <mergeCell ref="B14:E14"/>
    <mergeCell ref="B15:E15"/>
    <mergeCell ref="A17:K17"/>
    <mergeCell ref="A19:C19"/>
    <mergeCell ref="B11:E11"/>
    <mergeCell ref="B12:E12"/>
    <mergeCell ref="B26:E26"/>
    <mergeCell ref="H38:I38"/>
    <mergeCell ref="H39:I39"/>
    <mergeCell ref="A36:C36"/>
    <mergeCell ref="B91:I92"/>
    <mergeCell ref="B39:F39"/>
    <mergeCell ref="A41:C41"/>
    <mergeCell ref="A46:K46"/>
    <mergeCell ref="A48:C48"/>
    <mergeCell ref="B59:E59"/>
    <mergeCell ref="B60:F60"/>
    <mergeCell ref="B62:E62"/>
    <mergeCell ref="B63:E63"/>
    <mergeCell ref="B64:E64"/>
    <mergeCell ref="B38:F38"/>
    <mergeCell ref="B72:D72"/>
    <mergeCell ref="A74:C74"/>
    <mergeCell ref="B65:E65"/>
    <mergeCell ref="B66:E66"/>
    <mergeCell ref="B28:E28"/>
    <mergeCell ref="B29:E29"/>
    <mergeCell ref="B98:G98"/>
    <mergeCell ref="B30:E30"/>
    <mergeCell ref="B31:E31"/>
    <mergeCell ref="B32:E32"/>
    <mergeCell ref="B34:D34"/>
    <mergeCell ref="B76:F76"/>
  </mergeCells>
  <conditionalFormatting sqref="G39">
    <cfRule type="expression" dxfId="28" priority="9">
      <formula>#REF!&lt;&gt;"Prescriptive Path"</formula>
    </cfRule>
  </conditionalFormatting>
  <conditionalFormatting sqref="H38:I38">
    <cfRule type="expression" dxfId="27" priority="8">
      <formula>#REF!&lt;&gt;"Prescriptive Path"</formula>
    </cfRule>
  </conditionalFormatting>
  <conditionalFormatting sqref="H39">
    <cfRule type="expression" dxfId="26" priority="7">
      <formula>#REF!&lt;&gt;"Prescriptive Path"</formula>
    </cfRule>
  </conditionalFormatting>
  <conditionalFormatting sqref="G77">
    <cfRule type="expression" dxfId="25" priority="6">
      <formula>#REF!&lt;&gt;"Prescriptive Path"</formula>
    </cfRule>
  </conditionalFormatting>
  <conditionalFormatting sqref="H76:I76">
    <cfRule type="expression" dxfId="24" priority="5">
      <formula>#REF!&lt;&gt;"Prescriptive Path"</formula>
    </cfRule>
  </conditionalFormatting>
  <conditionalFormatting sqref="H77">
    <cfRule type="expression" dxfId="23" priority="4">
      <formula>#REF!&lt;&gt;"Prescriptive Path"</formula>
    </cfRule>
  </conditionalFormatting>
  <conditionalFormatting sqref="G109">
    <cfRule type="expression" dxfId="22" priority="3">
      <formula>#REF!&lt;&gt;"Prescriptive Path"</formula>
    </cfRule>
  </conditionalFormatting>
  <conditionalFormatting sqref="H108:I108">
    <cfRule type="expression" dxfId="21" priority="2">
      <formula>#REF!&lt;&gt;"Prescriptive Path"</formula>
    </cfRule>
  </conditionalFormatting>
  <conditionalFormatting sqref="H109">
    <cfRule type="expression" dxfId="20" priority="1">
      <formula>#REF!&lt;&gt;"Prescriptive Path"</formula>
    </cfRule>
  </conditionalFormatting>
  <dataValidations count="3">
    <dataValidation type="list" allowBlank="1" showInputMessage="1" showErrorMessage="1" sqref="G39 G77 G109" xr:uid="{00000000-0002-0000-3400-000000000000}">
      <formula1>"Submitted,Not submitted"</formula1>
    </dataValidation>
    <dataValidation type="list" allowBlank="1" showInputMessage="1" showErrorMessage="1" sqref="F26 G99:G102 F96 F59 F62:F70 F28:F30 F32" xr:uid="{00000000-0002-0000-3400-000001000000}">
      <formula1>"Select,Yes,No"</formula1>
    </dataValidation>
    <dataValidation type="list" allowBlank="1" showInputMessage="1" showErrorMessage="1" prompt="Select 'N/A' if none" sqref="F31" xr:uid="{00000000-0002-0000-3400-000002000000}">
      <formula1>"Select,Yes,No,N/A"</formula1>
    </dataValidation>
  </dataValidations>
  <hyperlinks>
    <hyperlink ref="J3" location="'CM-2 Construction Management'!B3" tooltip="CM-2" display="CM-2" xr:uid="{00000000-0004-0000-3400-000000000000}"/>
    <hyperlink ref="J2" location="'CM-1 Design Stage'!C3" tooltip="CM-1" display="CM-1" xr:uid="{00000000-0004-0000-3400-000001000000}"/>
    <hyperlink ref="K3" location="'CM BPC'!B3" tooltip="BPC" display="BPC" xr:uid="{00000000-0004-0000-3400-000002000000}"/>
    <hyperlink ref="J4" location="'CM-4 Access for PWD'!B3" tooltip="CM-4" display="CM-4" xr:uid="{00000000-0004-0000-3400-000003000000}"/>
  </hyperlinks>
  <pageMargins left="0.7" right="0.7" top="0.75" bottom="0.75" header="0.3" footer="0.3"/>
  <pageSetup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9">
    <tabColor rgb="FF984806"/>
  </sheetPr>
  <dimension ref="A1:N81"/>
  <sheetViews>
    <sheetView showGridLines="0" showRowColHeaders="0" workbookViewId="0">
      <pane ySplit="8" topLeftCell="A15" activePane="bottomLeft" state="frozen"/>
      <selection activeCell="B19" sqref="B19:E19"/>
      <selection pane="bottomLeft" activeCell="B3" sqref="B3"/>
    </sheetView>
  </sheetViews>
  <sheetFormatPr defaultColWidth="0" defaultRowHeight="15" customHeight="1" zeroHeight="1" x14ac:dyDescent="0.25"/>
  <cols>
    <col min="1" max="1" width="5.7109375" style="38" customWidth="1"/>
    <col min="2" max="2" width="18.42578125" style="38" customWidth="1"/>
    <col min="3" max="3" width="17" style="38" customWidth="1"/>
    <col min="4" max="5" width="18.42578125" style="38" customWidth="1"/>
    <col min="6" max="8" width="18.7109375" style="38" customWidth="1"/>
    <col min="9" max="9" width="10.7109375" style="38" customWidth="1"/>
    <col min="10" max="11" width="8.7109375" style="38" customWidth="1"/>
    <col min="12" max="16384" width="9.140625" style="38" hidden="1"/>
  </cols>
  <sheetData>
    <row r="1" spans="1:14" ht="25.5" customHeight="1" x14ac:dyDescent="0.25">
      <c r="A1" s="2284" t="s">
        <v>1815</v>
      </c>
      <c r="B1" s="2284"/>
      <c r="C1" s="2284"/>
      <c r="D1" s="2284"/>
      <c r="E1" s="2284"/>
      <c r="F1" s="2284"/>
      <c r="G1" s="2284"/>
      <c r="H1" s="2284"/>
      <c r="I1" s="2284"/>
      <c r="J1" s="2284"/>
      <c r="K1" s="2284"/>
    </row>
    <row r="2" spans="1:14" ht="15" customHeight="1" x14ac:dyDescent="0.25">
      <c r="A2" s="49"/>
      <c r="B2" s="50"/>
      <c r="C2" s="50"/>
      <c r="D2" s="50"/>
      <c r="E2" s="50"/>
      <c r="F2" s="49"/>
      <c r="G2" s="49"/>
      <c r="H2" s="1585" t="s">
        <v>1762</v>
      </c>
      <c r="I2" s="1585"/>
      <c r="J2" s="743" t="s">
        <v>139</v>
      </c>
      <c r="K2" s="743"/>
    </row>
    <row r="3" spans="1:14" ht="15" customHeight="1" x14ac:dyDescent="0.25">
      <c r="A3" s="49"/>
      <c r="B3" s="50"/>
      <c r="C3" s="50"/>
      <c r="D3" s="50"/>
      <c r="E3" s="50"/>
      <c r="F3" s="49"/>
      <c r="G3" s="49"/>
      <c r="H3" s="1585"/>
      <c r="I3" s="1585"/>
      <c r="J3" s="743" t="s">
        <v>140</v>
      </c>
      <c r="K3" s="743" t="s">
        <v>76</v>
      </c>
    </row>
    <row r="4" spans="1:14" ht="15" customHeight="1" x14ac:dyDescent="0.25">
      <c r="A4" s="49"/>
      <c r="B4" s="50"/>
      <c r="C4" s="50"/>
      <c r="D4" s="50"/>
      <c r="E4" s="50"/>
      <c r="F4" s="49"/>
      <c r="G4" s="49"/>
      <c r="H4" s="1586"/>
      <c r="I4" s="1586"/>
      <c r="J4" s="743" t="s">
        <v>141</v>
      </c>
      <c r="K4" s="743"/>
    </row>
    <row r="5" spans="1:14" ht="16.5" customHeight="1" x14ac:dyDescent="0.25">
      <c r="A5" s="1600" t="s">
        <v>2665</v>
      </c>
      <c r="B5" s="1601"/>
      <c r="C5" s="1601"/>
      <c r="D5" s="1601"/>
      <c r="E5" s="1601"/>
      <c r="F5" s="1601"/>
      <c r="G5" s="1601"/>
      <c r="H5" s="1601"/>
      <c r="I5" s="1601"/>
      <c r="J5" s="1601"/>
      <c r="K5" s="1601"/>
      <c r="L5" s="172"/>
      <c r="M5" s="172"/>
      <c r="N5" s="173"/>
    </row>
    <row r="6" spans="1:14" ht="16.5" customHeight="1" x14ac:dyDescent="0.25">
      <c r="A6" s="1603"/>
      <c r="B6" s="1604"/>
      <c r="C6" s="1604"/>
      <c r="D6" s="1604"/>
      <c r="E6" s="1604"/>
      <c r="F6" s="1604"/>
      <c r="G6" s="1604"/>
      <c r="H6" s="1604"/>
      <c r="I6" s="1604"/>
      <c r="J6" s="1604"/>
      <c r="K6" s="1604"/>
      <c r="L6" s="174"/>
      <c r="M6" s="174"/>
      <c r="N6" s="175"/>
    </row>
    <row r="7" spans="1:14" ht="16.5" customHeight="1" x14ac:dyDescent="0.25">
      <c r="A7" s="1606"/>
      <c r="B7" s="1607"/>
      <c r="C7" s="1607"/>
      <c r="D7" s="1607"/>
      <c r="E7" s="1607"/>
      <c r="F7" s="1607"/>
      <c r="G7" s="1607"/>
      <c r="H7" s="1607"/>
      <c r="I7" s="1607"/>
      <c r="J7" s="1607"/>
      <c r="K7" s="1607"/>
      <c r="L7" s="176"/>
      <c r="M7" s="176"/>
      <c r="N7" s="177"/>
    </row>
    <row r="8" spans="1:14" ht="12" customHeight="1" x14ac:dyDescent="0.25">
      <c r="A8" s="49"/>
      <c r="B8" s="50"/>
      <c r="C8" s="50"/>
      <c r="D8" s="50"/>
      <c r="E8" s="50"/>
      <c r="F8" s="49"/>
      <c r="G8" s="49"/>
      <c r="H8" s="49"/>
      <c r="I8" s="49"/>
      <c r="J8" s="49"/>
      <c r="K8" s="49"/>
      <c r="L8" s="49"/>
      <c r="M8" s="49"/>
      <c r="N8" s="49"/>
    </row>
    <row r="9" spans="1:14" ht="18" customHeight="1" x14ac:dyDescent="0.25">
      <c r="A9" s="2278" t="s">
        <v>177</v>
      </c>
      <c r="B9" s="2278"/>
      <c r="C9" s="2278"/>
      <c r="D9" s="2278"/>
      <c r="E9" s="2278"/>
      <c r="F9" s="2278"/>
      <c r="G9" s="2278"/>
      <c r="H9" s="2278"/>
      <c r="I9" s="2278"/>
      <c r="J9" s="2278"/>
      <c r="K9" s="2278"/>
    </row>
    <row r="10" spans="1:14" x14ac:dyDescent="0.25">
      <c r="A10" s="49"/>
      <c r="B10" s="50"/>
      <c r="C10" s="50"/>
      <c r="D10" s="50"/>
      <c r="E10" s="50"/>
      <c r="F10" s="49"/>
      <c r="G10" s="49"/>
      <c r="H10" s="49"/>
      <c r="I10" s="49"/>
      <c r="J10" s="49"/>
      <c r="K10" s="49"/>
    </row>
    <row r="11" spans="1:14" ht="21" customHeight="1" x14ac:dyDescent="0.25">
      <c r="A11" s="49"/>
      <c r="B11" s="2285" t="s">
        <v>178</v>
      </c>
      <c r="C11" s="2286"/>
      <c r="D11" s="2286"/>
      <c r="E11" s="2286"/>
      <c r="F11" s="564" t="s">
        <v>152</v>
      </c>
      <c r="G11" s="564" t="s">
        <v>53</v>
      </c>
      <c r="H11" s="60" t="s">
        <v>492</v>
      </c>
      <c r="I11" s="49"/>
      <c r="J11" s="49"/>
      <c r="K11" s="49"/>
    </row>
    <row r="12" spans="1:14" ht="21" customHeight="1" x14ac:dyDescent="0.25">
      <c r="A12" s="49"/>
      <c r="B12" s="1791" t="s">
        <v>1816</v>
      </c>
      <c r="C12" s="1792"/>
      <c r="D12" s="1792"/>
      <c r="E12" s="1793"/>
      <c r="F12" s="947">
        <v>1</v>
      </c>
      <c r="G12" s="947">
        <f>C41</f>
        <v>0</v>
      </c>
      <c r="H12" s="947" t="str">
        <f>C42</f>
        <v>No</v>
      </c>
      <c r="I12" s="49"/>
      <c r="J12" s="49"/>
      <c r="K12" s="49"/>
    </row>
    <row r="13" spans="1:14" ht="17.25" customHeight="1" x14ac:dyDescent="0.25">
      <c r="A13" s="49"/>
      <c r="B13" s="50"/>
      <c r="C13" s="50"/>
      <c r="D13" s="50"/>
      <c r="E13" s="50"/>
      <c r="F13" s="49"/>
      <c r="G13" s="49"/>
      <c r="H13" s="49"/>
      <c r="I13" s="49"/>
      <c r="J13" s="49"/>
      <c r="K13" s="49"/>
    </row>
    <row r="14" spans="1:14" ht="18" customHeight="1" x14ac:dyDescent="0.25">
      <c r="A14" s="2278" t="s">
        <v>245</v>
      </c>
      <c r="B14" s="2278"/>
      <c r="C14" s="2278"/>
      <c r="D14" s="2278"/>
      <c r="E14" s="2278"/>
      <c r="F14" s="2278"/>
      <c r="G14" s="2278"/>
      <c r="H14" s="2278"/>
      <c r="I14" s="2278"/>
      <c r="J14" s="2278"/>
      <c r="K14" s="2278"/>
    </row>
    <row r="15" spans="1:14" x14ac:dyDescent="0.25">
      <c r="A15" s="49"/>
      <c r="B15" s="50"/>
      <c r="C15" s="50"/>
      <c r="D15" s="50"/>
      <c r="E15" s="50"/>
      <c r="F15" s="49"/>
      <c r="G15" s="49"/>
      <c r="H15" s="49"/>
      <c r="I15" s="49"/>
      <c r="J15" s="49"/>
      <c r="K15" s="49"/>
    </row>
    <row r="16" spans="1:14" ht="18" customHeight="1" x14ac:dyDescent="0.25">
      <c r="A16" s="49"/>
      <c r="B16" s="1071" t="s">
        <v>1968</v>
      </c>
      <c r="C16" s="49"/>
      <c r="D16" s="49"/>
      <c r="E16" s="49"/>
      <c r="F16" s="49"/>
      <c r="G16" s="49"/>
      <c r="H16" s="49"/>
      <c r="I16" s="49"/>
      <c r="J16" s="49"/>
      <c r="K16" s="49"/>
    </row>
    <row r="17" spans="1:13" ht="9.75" customHeight="1" x14ac:dyDescent="0.25">
      <c r="A17" s="49"/>
      <c r="B17" s="49"/>
      <c r="C17" s="49"/>
      <c r="D17" s="49"/>
      <c r="E17" s="49"/>
      <c r="F17" s="49"/>
      <c r="G17" s="49"/>
      <c r="H17" s="49"/>
      <c r="I17" s="49"/>
      <c r="J17" s="49"/>
      <c r="K17" s="49"/>
    </row>
    <row r="18" spans="1:13" x14ac:dyDescent="0.25">
      <c r="A18" s="49"/>
      <c r="B18" s="50"/>
      <c r="C18" s="50"/>
      <c r="D18" s="50"/>
      <c r="E18" s="50"/>
      <c r="F18" s="49"/>
      <c r="G18" s="49"/>
      <c r="H18" s="49"/>
      <c r="I18" s="49"/>
      <c r="J18" s="49"/>
      <c r="K18" s="49"/>
    </row>
    <row r="19" spans="1:13" x14ac:dyDescent="0.25">
      <c r="A19" s="49"/>
      <c r="B19" s="642" t="s">
        <v>1980</v>
      </c>
      <c r="C19" s="50"/>
      <c r="D19" s="50"/>
      <c r="E19" s="50"/>
      <c r="F19" s="49"/>
      <c r="G19" s="49"/>
      <c r="H19" s="49"/>
      <c r="I19" s="49"/>
      <c r="J19" s="49"/>
      <c r="K19" s="49"/>
    </row>
    <row r="20" spans="1:13" ht="10.5" customHeight="1" x14ac:dyDescent="0.25">
      <c r="A20" s="49"/>
      <c r="B20" s="50"/>
      <c r="C20" s="50"/>
      <c r="D20" s="50"/>
      <c r="E20" s="50"/>
      <c r="F20" s="49"/>
      <c r="G20" s="50"/>
      <c r="H20" s="49"/>
      <c r="I20" s="49"/>
      <c r="J20" s="49"/>
      <c r="K20" s="49"/>
    </row>
    <row r="21" spans="1:13" ht="18" customHeight="1" x14ac:dyDescent="0.25">
      <c r="A21" s="49"/>
      <c r="B21" s="2321" t="s">
        <v>1969</v>
      </c>
      <c r="C21" s="2339"/>
      <c r="D21" s="2339"/>
      <c r="E21" s="2339"/>
      <c r="F21" s="2292" t="s">
        <v>1979</v>
      </c>
      <c r="G21" s="2292"/>
      <c r="H21" s="2292"/>
      <c r="I21" s="2338"/>
      <c r="J21" s="49"/>
      <c r="K21" s="49"/>
      <c r="L21" s="61" t="b">
        <v>0</v>
      </c>
      <c r="M21" s="61"/>
    </row>
    <row r="22" spans="1:13" ht="24.75" customHeight="1" x14ac:dyDescent="0.25">
      <c r="A22" s="49"/>
      <c r="B22" s="1965" t="s">
        <v>1970</v>
      </c>
      <c r="C22" s="1966"/>
      <c r="D22" s="1967"/>
      <c r="E22" s="1046" t="s">
        <v>124</v>
      </c>
      <c r="F22" s="2336"/>
      <c r="G22" s="2337"/>
      <c r="H22" s="2337"/>
      <c r="I22" s="2337"/>
      <c r="J22" s="49"/>
      <c r="K22" s="49"/>
      <c r="L22" s="61"/>
      <c r="M22" s="61"/>
    </row>
    <row r="23" spans="1:13" ht="24.75" customHeight="1" x14ac:dyDescent="0.25">
      <c r="A23" s="49"/>
      <c r="B23" s="1576" t="s">
        <v>1971</v>
      </c>
      <c r="C23" s="1577"/>
      <c r="D23" s="1578"/>
      <c r="E23" s="1036" t="s">
        <v>124</v>
      </c>
      <c r="F23" s="2336"/>
      <c r="G23" s="2337"/>
      <c r="H23" s="2337"/>
      <c r="I23" s="2337"/>
      <c r="J23" s="49"/>
      <c r="K23" s="49"/>
      <c r="L23" s="61" t="b">
        <v>0</v>
      </c>
      <c r="M23" s="61" t="b">
        <v>0</v>
      </c>
    </row>
    <row r="24" spans="1:13" ht="24.75" customHeight="1" x14ac:dyDescent="0.25">
      <c r="A24" s="49"/>
      <c r="B24" s="1576" t="s">
        <v>1973</v>
      </c>
      <c r="C24" s="1577"/>
      <c r="D24" s="1578"/>
      <c r="E24" s="1036" t="s">
        <v>124</v>
      </c>
      <c r="F24" s="2336"/>
      <c r="G24" s="2337"/>
      <c r="H24" s="2337"/>
      <c r="I24" s="2337"/>
      <c r="J24" s="49"/>
      <c r="K24" s="49"/>
      <c r="L24" s="61" t="b">
        <v>0</v>
      </c>
      <c r="M24" s="61"/>
    </row>
    <row r="25" spans="1:13" ht="24.75" customHeight="1" x14ac:dyDescent="0.25">
      <c r="A25" s="49"/>
      <c r="B25" s="1576" t="s">
        <v>1974</v>
      </c>
      <c r="C25" s="1577"/>
      <c r="D25" s="1578"/>
      <c r="E25" s="1036" t="s">
        <v>124</v>
      </c>
      <c r="F25" s="2336"/>
      <c r="G25" s="2337"/>
      <c r="H25" s="2337"/>
      <c r="I25" s="2337"/>
      <c r="J25" s="49"/>
      <c r="K25" s="49"/>
      <c r="L25" s="61" t="b">
        <v>0</v>
      </c>
      <c r="M25" s="61" t="b">
        <v>0</v>
      </c>
    </row>
    <row r="26" spans="1:13" ht="24.75" customHeight="1" x14ac:dyDescent="0.25">
      <c r="A26" s="49"/>
      <c r="B26" s="1576" t="s">
        <v>1975</v>
      </c>
      <c r="C26" s="1577"/>
      <c r="D26" s="1578"/>
      <c r="E26" s="1036" t="s">
        <v>124</v>
      </c>
      <c r="F26" s="2336"/>
      <c r="G26" s="2337"/>
      <c r="H26" s="2337"/>
      <c r="I26" s="2337"/>
      <c r="J26" s="49"/>
      <c r="K26" s="49"/>
      <c r="L26" s="61" t="b">
        <v>0</v>
      </c>
      <c r="M26" s="61" t="b">
        <v>0</v>
      </c>
    </row>
    <row r="27" spans="1:13" ht="24.75" customHeight="1" x14ac:dyDescent="0.25">
      <c r="A27" s="49"/>
      <c r="B27" s="1576" t="s">
        <v>1976</v>
      </c>
      <c r="C27" s="1577"/>
      <c r="D27" s="1578"/>
      <c r="E27" s="1036" t="s">
        <v>124</v>
      </c>
      <c r="F27" s="2336"/>
      <c r="G27" s="2337"/>
      <c r="H27" s="2337"/>
      <c r="I27" s="2337"/>
      <c r="J27" s="49"/>
      <c r="K27" s="49"/>
      <c r="L27" s="61" t="b">
        <v>0</v>
      </c>
      <c r="M27" s="61" t="b">
        <v>0</v>
      </c>
    </row>
    <row r="28" spans="1:13" ht="24.75" customHeight="1" x14ac:dyDescent="0.25">
      <c r="A28" s="49"/>
      <c r="B28" s="1576" t="s">
        <v>1972</v>
      </c>
      <c r="C28" s="1577"/>
      <c r="D28" s="1578"/>
      <c r="E28" s="1036" t="s">
        <v>124</v>
      </c>
      <c r="F28" s="2336"/>
      <c r="G28" s="2337"/>
      <c r="H28" s="2337"/>
      <c r="I28" s="2337"/>
      <c r="J28" s="49"/>
      <c r="K28" s="49"/>
      <c r="L28" s="61"/>
      <c r="M28" s="61"/>
    </row>
    <row r="29" spans="1:13" ht="24.75" customHeight="1" x14ac:dyDescent="0.25">
      <c r="A29" s="49"/>
      <c r="B29" s="1576" t="s">
        <v>1977</v>
      </c>
      <c r="C29" s="1577"/>
      <c r="D29" s="1578"/>
      <c r="E29" s="1036" t="s">
        <v>124</v>
      </c>
      <c r="F29" s="2336"/>
      <c r="G29" s="2337"/>
      <c r="H29" s="2337"/>
      <c r="I29" s="2337"/>
      <c r="J29" s="49"/>
      <c r="K29" s="49"/>
      <c r="L29" s="61"/>
      <c r="M29" s="61"/>
    </row>
    <row r="30" spans="1:13" ht="24.75" customHeight="1" x14ac:dyDescent="0.25">
      <c r="A30" s="49"/>
      <c r="B30" s="1576" t="s">
        <v>1978</v>
      </c>
      <c r="C30" s="1577"/>
      <c r="D30" s="1578"/>
      <c r="E30" s="1036" t="s">
        <v>124</v>
      </c>
      <c r="F30" s="2336"/>
      <c r="G30" s="2337"/>
      <c r="H30" s="2337"/>
      <c r="I30" s="2337"/>
      <c r="J30" s="49"/>
      <c r="K30" s="49"/>
      <c r="L30" s="61"/>
      <c r="M30" s="61"/>
    </row>
    <row r="31" spans="1:13" ht="17.25" customHeight="1" x14ac:dyDescent="0.25">
      <c r="A31" s="49"/>
      <c r="B31" s="50"/>
      <c r="C31" s="50"/>
      <c r="D31" s="50"/>
      <c r="E31" s="50"/>
      <c r="F31" s="49"/>
      <c r="G31" s="49"/>
      <c r="H31" s="49"/>
      <c r="I31" s="49"/>
      <c r="J31" s="49"/>
      <c r="K31" s="49"/>
    </row>
    <row r="32" spans="1:13" ht="18" customHeight="1" x14ac:dyDescent="0.25">
      <c r="A32" s="49"/>
      <c r="B32" s="2271" t="s">
        <v>1817</v>
      </c>
      <c r="C32" s="2271"/>
      <c r="D32" s="2271"/>
      <c r="E32" s="257" t="str">
        <f>IF(COUNTIF(E22:E30,"Yes")=9,"Yes","No")</f>
        <v>No</v>
      </c>
      <c r="F32" s="49"/>
      <c r="G32" s="49"/>
      <c r="H32" s="49"/>
      <c r="I32" s="49"/>
      <c r="J32" s="49"/>
      <c r="K32" s="49"/>
    </row>
    <row r="33" spans="1:11" ht="19.5" customHeight="1" x14ac:dyDescent="0.25">
      <c r="A33" s="49"/>
      <c r="B33" s="50"/>
      <c r="C33" s="50"/>
      <c r="D33" s="50"/>
      <c r="E33" s="49"/>
      <c r="F33" s="49"/>
      <c r="G33" s="49"/>
      <c r="H33" s="49"/>
      <c r="I33" s="49"/>
      <c r="J33" s="49"/>
      <c r="K33" s="49"/>
    </row>
    <row r="34" spans="1:11" ht="18" customHeight="1" x14ac:dyDescent="0.25">
      <c r="A34" s="2278" t="s">
        <v>186</v>
      </c>
      <c r="B34" s="2278"/>
      <c r="C34" s="2278"/>
      <c r="D34" s="2278"/>
      <c r="E34" s="2278"/>
      <c r="F34" s="2278"/>
      <c r="G34" s="2278"/>
      <c r="H34" s="2278"/>
      <c r="I34" s="2278"/>
      <c r="J34" s="2278"/>
      <c r="K34" s="2278"/>
    </row>
    <row r="35" spans="1:11" ht="16.5" customHeight="1" x14ac:dyDescent="0.25">
      <c r="A35" s="49"/>
      <c r="B35" s="50"/>
      <c r="C35" s="50"/>
      <c r="D35" s="50"/>
      <c r="E35" s="49"/>
      <c r="F35" s="49"/>
      <c r="G35" s="49"/>
      <c r="H35" s="49"/>
      <c r="I35" s="49"/>
      <c r="J35" s="49"/>
      <c r="K35" s="49"/>
    </row>
    <row r="36" spans="1:11" ht="18" customHeight="1" x14ac:dyDescent="0.25">
      <c r="A36" s="49"/>
      <c r="B36" s="2280" t="s">
        <v>1739</v>
      </c>
      <c r="C36" s="2281"/>
      <c r="D36" s="2281"/>
      <c r="E36" s="2281"/>
      <c r="F36" s="2281"/>
      <c r="G36" s="1112" t="s">
        <v>1737</v>
      </c>
      <c r="H36" s="2282" t="s">
        <v>1738</v>
      </c>
      <c r="I36" s="2283"/>
      <c r="J36" s="49"/>
      <c r="K36" s="49"/>
    </row>
    <row r="37" spans="1:11" ht="24" customHeight="1" x14ac:dyDescent="0.25">
      <c r="A37" s="49"/>
      <c r="B37" s="2231" t="s">
        <v>2318</v>
      </c>
      <c r="C37" s="2232"/>
      <c r="D37" s="2232"/>
      <c r="E37" s="2232"/>
      <c r="F37" s="2233"/>
      <c r="G37" s="945" t="s">
        <v>124</v>
      </c>
      <c r="H37" s="1931"/>
      <c r="I37" s="1932"/>
      <c r="J37" s="49"/>
      <c r="K37" s="49"/>
    </row>
    <row r="38" spans="1:11" ht="19.5" customHeight="1" x14ac:dyDescent="0.25">
      <c r="A38" s="49"/>
      <c r="B38" s="50"/>
      <c r="C38" s="50"/>
      <c r="D38" s="50"/>
      <c r="E38" s="49"/>
      <c r="F38" s="49"/>
      <c r="G38" s="49"/>
      <c r="H38" s="49"/>
      <c r="I38" s="49"/>
      <c r="J38" s="49"/>
      <c r="K38" s="49"/>
    </row>
    <row r="39" spans="1:11" ht="18" customHeight="1" x14ac:dyDescent="0.25">
      <c r="A39" s="2278" t="s">
        <v>22</v>
      </c>
      <c r="B39" s="2278"/>
      <c r="C39" s="2278"/>
      <c r="D39" s="2278"/>
      <c r="E39" s="2278"/>
      <c r="F39" s="2278"/>
      <c r="G39" s="2278"/>
      <c r="H39" s="2278"/>
      <c r="I39" s="2278"/>
      <c r="J39" s="2278"/>
      <c r="K39" s="2278"/>
    </row>
    <row r="40" spans="1:11" x14ac:dyDescent="0.25">
      <c r="A40" s="49"/>
      <c r="B40" s="50"/>
      <c r="C40" s="50"/>
      <c r="D40" s="50"/>
      <c r="E40" s="50"/>
      <c r="F40" s="49"/>
      <c r="G40" s="49"/>
      <c r="H40" s="49"/>
      <c r="I40" s="49"/>
      <c r="J40" s="49"/>
      <c r="K40" s="49"/>
    </row>
    <row r="41" spans="1:11" ht="18" customHeight="1" x14ac:dyDescent="0.25">
      <c r="A41" s="49"/>
      <c r="B41" s="256" t="s">
        <v>53</v>
      </c>
      <c r="C41" s="956">
        <f>IF(E32="Yes",1,0)</f>
        <v>0</v>
      </c>
      <c r="D41" s="50"/>
      <c r="E41" s="49"/>
      <c r="F41" s="49"/>
      <c r="G41" s="49"/>
      <c r="H41" s="49"/>
      <c r="I41" s="49"/>
      <c r="J41" s="49"/>
      <c r="K41" s="49"/>
    </row>
    <row r="42" spans="1:11" ht="18" customHeight="1" x14ac:dyDescent="0.25">
      <c r="A42" s="49"/>
      <c r="B42" s="256" t="s">
        <v>492</v>
      </c>
      <c r="C42" s="181" t="str">
        <f>IF(AND(G37="Submitted",C41&gt;0),"Yes","No")</f>
        <v>No</v>
      </c>
      <c r="D42" s="50"/>
      <c r="E42" s="50"/>
      <c r="F42" s="49"/>
      <c r="G42" s="49"/>
      <c r="H42" s="49"/>
      <c r="I42" s="49"/>
      <c r="J42" s="49"/>
      <c r="K42" s="49"/>
    </row>
    <row r="43" spans="1:11" ht="21" customHeight="1" x14ac:dyDescent="0.25">
      <c r="A43" s="49"/>
      <c r="B43" s="50"/>
      <c r="C43" s="50"/>
      <c r="D43" s="50"/>
      <c r="E43" s="50"/>
      <c r="F43" s="49"/>
      <c r="G43" s="49"/>
      <c r="H43" s="49"/>
      <c r="I43" s="49"/>
      <c r="J43" s="49"/>
      <c r="K43" s="49"/>
    </row>
    <row r="44" spans="1:11" hidden="1" x14ac:dyDescent="0.25">
      <c r="J44" s="49"/>
      <c r="K44" s="49"/>
    </row>
    <row r="45" spans="1:11" hidden="1" x14ac:dyDescent="0.25">
      <c r="J45" s="49"/>
      <c r="K45" s="49"/>
    </row>
    <row r="46" spans="1:11" hidden="1" x14ac:dyDescent="0.25">
      <c r="J46" s="49"/>
      <c r="K46" s="49"/>
    </row>
    <row r="47" spans="1:11" ht="15" hidden="1" customHeight="1" x14ac:dyDescent="0.25"/>
    <row r="48" spans="1:11"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sheetData>
  <sheetProtection algorithmName="SHA-512" hashValue="pGa+7wFAXeJz5wXlucw4chCeyPhokjXAFBLzjlfnCtmcayJrjDoWRXfMvJsKlsxbipCkXwYgtyNqIu31Rz0jTw==" saltValue="QDWc9TKUSrCcqL0oL/zgjQ==" spinCount="100000" sheet="1" objects="1" scenarios="1"/>
  <dataConsolidate/>
  <mergeCells count="34">
    <mergeCell ref="A1:K1"/>
    <mergeCell ref="A5:K7"/>
    <mergeCell ref="A9:K9"/>
    <mergeCell ref="B11:E11"/>
    <mergeCell ref="B12:E12"/>
    <mergeCell ref="A39:K39"/>
    <mergeCell ref="H2:I4"/>
    <mergeCell ref="B32:D32"/>
    <mergeCell ref="A34:K34"/>
    <mergeCell ref="B37:F37"/>
    <mergeCell ref="A14:K14"/>
    <mergeCell ref="B25:D25"/>
    <mergeCell ref="B26:D26"/>
    <mergeCell ref="B27:D27"/>
    <mergeCell ref="B28:D28"/>
    <mergeCell ref="B21:E21"/>
    <mergeCell ref="B22:D22"/>
    <mergeCell ref="B23:D23"/>
    <mergeCell ref="B24:D24"/>
    <mergeCell ref="F26:I26"/>
    <mergeCell ref="F27:I27"/>
    <mergeCell ref="F28:I28"/>
    <mergeCell ref="F29:I29"/>
    <mergeCell ref="F30:I30"/>
    <mergeCell ref="F21:I21"/>
    <mergeCell ref="F22:I22"/>
    <mergeCell ref="F23:I23"/>
    <mergeCell ref="F24:I24"/>
    <mergeCell ref="F25:I25"/>
    <mergeCell ref="B36:F36"/>
    <mergeCell ref="H36:I36"/>
    <mergeCell ref="H37:I37"/>
    <mergeCell ref="B29:D29"/>
    <mergeCell ref="B30:D30"/>
  </mergeCells>
  <conditionalFormatting sqref="G37">
    <cfRule type="expression" dxfId="19" priority="3">
      <formula>#REF!&lt;&gt;"Prescriptive Path"</formula>
    </cfRule>
  </conditionalFormatting>
  <conditionalFormatting sqref="H36:I36">
    <cfRule type="expression" dxfId="18" priority="2">
      <formula>#REF!&lt;&gt;"Prescriptive Path"</formula>
    </cfRule>
  </conditionalFormatting>
  <conditionalFormatting sqref="H37">
    <cfRule type="expression" dxfId="17" priority="1">
      <formula>#REF!&lt;&gt;"Prescriptive Path"</formula>
    </cfRule>
  </conditionalFormatting>
  <dataValidations count="2">
    <dataValidation type="list" allowBlank="1" showInputMessage="1" showErrorMessage="1" sqref="E22:E30" xr:uid="{00000000-0002-0000-3500-000000000000}">
      <formula1>"Select,Yes,No"</formula1>
    </dataValidation>
    <dataValidation type="list" allowBlank="1" showInputMessage="1" showErrorMessage="1" sqref="G37" xr:uid="{00000000-0002-0000-3500-000001000000}">
      <formula1>"Submitted,Not submitted"</formula1>
    </dataValidation>
  </dataValidations>
  <hyperlinks>
    <hyperlink ref="J3" location="'CM-2 Construction Management'!B3" tooltip="CM-2" display="CM-2" xr:uid="{00000000-0004-0000-3500-000000000000}"/>
    <hyperlink ref="J2" location="'CM-1 Design Stage'!C3" tooltip="CM-1" display="CM-1" xr:uid="{00000000-0004-0000-3500-000001000000}"/>
    <hyperlink ref="K3" location="'CM BPC'!B3" tooltip="BPC" display="BPC" xr:uid="{00000000-0004-0000-3500-000002000000}"/>
    <hyperlink ref="J4" location="'CM-3 Operational Management'!C3" tooltip="CM-3" display="CM-3" xr:uid="{00000000-0004-0000-3500-000003000000}"/>
  </hyperlinks>
  <pageMargins left="0.7" right="0.7" top="0.75" bottom="0.75" header="0.3" footer="0.3"/>
  <pageSetup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tabColor rgb="FF984806"/>
  </sheetPr>
  <dimension ref="A1:O124"/>
  <sheetViews>
    <sheetView showRowColHeaders="0" workbookViewId="0">
      <pane ySplit="7" topLeftCell="A8" activePane="bottomLeft" state="frozen"/>
      <selection pane="bottomLeft" activeCell="A8" sqref="A8:L8"/>
    </sheetView>
  </sheetViews>
  <sheetFormatPr defaultColWidth="0" defaultRowHeight="15" customHeight="1" zeroHeight="1" x14ac:dyDescent="0.25"/>
  <cols>
    <col min="1" max="1" width="5.7109375" style="38" customWidth="1"/>
    <col min="2" max="2" width="18.42578125" style="38" customWidth="1"/>
    <col min="3" max="3" width="17" style="38" customWidth="1"/>
    <col min="4" max="6" width="18.42578125" style="38" customWidth="1"/>
    <col min="7" max="7" width="18.28515625" style="38" customWidth="1"/>
    <col min="8" max="8" width="21.7109375" style="38" customWidth="1"/>
    <col min="9" max="9" width="16.7109375" style="38" customWidth="1"/>
    <col min="10" max="10" width="10.42578125" style="38" customWidth="1"/>
    <col min="11" max="12" width="8.7109375" style="38" customWidth="1"/>
    <col min="13" max="16384" width="9.140625" style="38" hidden="1"/>
  </cols>
  <sheetData>
    <row r="1" spans="1:15" ht="25.5" customHeight="1" x14ac:dyDescent="0.25">
      <c r="A1" s="255" t="s">
        <v>619</v>
      </c>
      <c r="B1" s="254"/>
      <c r="C1" s="254"/>
      <c r="D1" s="254"/>
      <c r="E1" s="254"/>
      <c r="F1" s="254"/>
      <c r="G1" s="58"/>
      <c r="H1" s="58"/>
      <c r="I1" s="58"/>
      <c r="J1" s="58"/>
      <c r="K1" s="58"/>
      <c r="L1" s="58"/>
    </row>
    <row r="2" spans="1:15" ht="15" customHeight="1" x14ac:dyDescent="0.25">
      <c r="A2" s="49"/>
      <c r="B2" s="50"/>
      <c r="C2" s="50"/>
      <c r="D2" s="50"/>
      <c r="E2" s="50"/>
      <c r="F2" s="49"/>
      <c r="G2" s="49"/>
      <c r="H2" s="1585" t="s">
        <v>1762</v>
      </c>
      <c r="I2" s="1585"/>
      <c r="J2" s="1585"/>
      <c r="K2" s="743" t="s">
        <v>139</v>
      </c>
      <c r="L2" s="743"/>
    </row>
    <row r="3" spans="1:15" ht="15" customHeight="1" x14ac:dyDescent="0.25">
      <c r="A3" s="49"/>
      <c r="B3" s="50"/>
      <c r="C3" s="50"/>
      <c r="D3" s="50"/>
      <c r="E3" s="50"/>
      <c r="F3" s="49"/>
      <c r="G3" s="49"/>
      <c r="H3" s="1585"/>
      <c r="I3" s="1585"/>
      <c r="J3" s="1585"/>
      <c r="K3" s="743" t="s">
        <v>140</v>
      </c>
      <c r="L3" s="743" t="s">
        <v>1813</v>
      </c>
    </row>
    <row r="4" spans="1:15" ht="15" customHeight="1" x14ac:dyDescent="0.25">
      <c r="A4" s="49"/>
      <c r="B4" s="50"/>
      <c r="C4" s="50"/>
      <c r="D4" s="50"/>
      <c r="E4" s="50"/>
      <c r="F4" s="49"/>
      <c r="G4" s="49"/>
      <c r="H4" s="1586"/>
      <c r="I4" s="1586"/>
      <c r="J4" s="1586"/>
      <c r="K4" s="743" t="s">
        <v>141</v>
      </c>
      <c r="L4" s="743"/>
    </row>
    <row r="5" spans="1:15" ht="18.75" customHeight="1" x14ac:dyDescent="0.25">
      <c r="A5" s="1600" t="s">
        <v>2666</v>
      </c>
      <c r="B5" s="1601"/>
      <c r="C5" s="1601"/>
      <c r="D5" s="1601"/>
      <c r="E5" s="1601"/>
      <c r="F5" s="1601"/>
      <c r="G5" s="1601"/>
      <c r="H5" s="1601"/>
      <c r="I5" s="1601"/>
      <c r="J5" s="1601"/>
      <c r="K5" s="1601"/>
      <c r="L5" s="1601"/>
    </row>
    <row r="6" spans="1:15" ht="18.75" customHeight="1" x14ac:dyDescent="0.25">
      <c r="A6" s="1606"/>
      <c r="B6" s="1607"/>
      <c r="C6" s="1607"/>
      <c r="D6" s="1607"/>
      <c r="E6" s="1607"/>
      <c r="F6" s="1607"/>
      <c r="G6" s="1607"/>
      <c r="H6" s="1607"/>
      <c r="I6" s="1607"/>
      <c r="J6" s="1607"/>
      <c r="K6" s="1607"/>
      <c r="L6" s="1607"/>
      <c r="M6" s="49"/>
      <c r="N6" s="49"/>
      <c r="O6" s="49"/>
    </row>
    <row r="7" spans="1:15" ht="9.75" customHeight="1" x14ac:dyDescent="0.25">
      <c r="A7" s="785"/>
      <c r="B7" s="785"/>
      <c r="C7" s="785"/>
      <c r="D7" s="785"/>
      <c r="E7" s="785"/>
      <c r="F7" s="785"/>
      <c r="G7" s="785"/>
      <c r="H7" s="785"/>
      <c r="I7" s="785"/>
      <c r="J7" s="785"/>
      <c r="K7" s="943"/>
      <c r="L7" s="785"/>
      <c r="M7" s="49"/>
      <c r="N7" s="49"/>
      <c r="O7" s="49"/>
    </row>
    <row r="8" spans="1:15" ht="18" customHeight="1" x14ac:dyDescent="0.25">
      <c r="A8" s="2278" t="s">
        <v>579</v>
      </c>
      <c r="B8" s="2278"/>
      <c r="C8" s="2278"/>
      <c r="D8" s="2278"/>
      <c r="E8" s="2278"/>
      <c r="F8" s="2278"/>
      <c r="G8" s="2278"/>
      <c r="H8" s="2278"/>
      <c r="I8" s="2278"/>
      <c r="J8" s="2278"/>
      <c r="K8" s="2278"/>
      <c r="L8" s="2278"/>
    </row>
    <row r="9" spans="1:15" x14ac:dyDescent="0.25">
      <c r="A9" s="49"/>
      <c r="B9" s="50"/>
      <c r="C9" s="50"/>
      <c r="D9" s="50"/>
      <c r="E9" s="50"/>
      <c r="F9" s="49"/>
      <c r="G9" s="49"/>
      <c r="H9" s="49"/>
      <c r="I9" s="49"/>
      <c r="J9" s="49"/>
      <c r="K9" s="49"/>
      <c r="L9" s="49"/>
    </row>
    <row r="10" spans="1:15" ht="21" customHeight="1" x14ac:dyDescent="0.25">
      <c r="A10" s="49"/>
      <c r="B10" s="2285" t="s">
        <v>178</v>
      </c>
      <c r="C10" s="2286"/>
      <c r="D10" s="2286"/>
      <c r="E10" s="2286"/>
      <c r="F10" s="564" t="s">
        <v>152</v>
      </c>
      <c r="G10" s="564" t="s">
        <v>53</v>
      </c>
      <c r="H10" s="60" t="s">
        <v>492</v>
      </c>
      <c r="I10" s="49"/>
      <c r="J10" s="49"/>
      <c r="K10" s="49"/>
      <c r="L10" s="49"/>
    </row>
    <row r="11" spans="1:15" ht="27" customHeight="1" x14ac:dyDescent="0.25">
      <c r="A11" s="49"/>
      <c r="B11" s="1791" t="s">
        <v>620</v>
      </c>
      <c r="C11" s="1792"/>
      <c r="D11" s="1792"/>
      <c r="E11" s="1793"/>
      <c r="F11" s="294">
        <v>1</v>
      </c>
      <c r="G11" s="294">
        <f>C41</f>
        <v>0</v>
      </c>
      <c r="H11" s="294" t="str">
        <f>C42</f>
        <v>No</v>
      </c>
      <c r="I11" s="49"/>
      <c r="J11" s="49"/>
      <c r="K11" s="49"/>
      <c r="L11" s="49"/>
      <c r="M11" s="38" t="str">
        <f t="shared" ref="M11:M14" si="0">IF(G11&lt;&gt;0,IF(H11="No","No","Yes"),"Yes")</f>
        <v>Yes</v>
      </c>
    </row>
    <row r="12" spans="1:15" ht="36.75" customHeight="1" x14ac:dyDescent="0.25">
      <c r="A12" s="49"/>
      <c r="B12" s="1791" t="s">
        <v>874</v>
      </c>
      <c r="C12" s="1792"/>
      <c r="D12" s="1792"/>
      <c r="E12" s="1793"/>
      <c r="F12" s="470">
        <v>1</v>
      </c>
      <c r="G12" s="470">
        <f>C62</f>
        <v>0</v>
      </c>
      <c r="H12" s="470" t="str">
        <f>C63</f>
        <v>No</v>
      </c>
      <c r="I12" s="49"/>
      <c r="J12" s="49"/>
      <c r="K12" s="49"/>
      <c r="L12" s="49"/>
      <c r="M12" s="38" t="str">
        <f t="shared" si="0"/>
        <v>Yes</v>
      </c>
    </row>
    <row r="13" spans="1:15" ht="30.75" customHeight="1" x14ac:dyDescent="0.25">
      <c r="A13" s="49"/>
      <c r="B13" s="1791" t="s">
        <v>875</v>
      </c>
      <c r="C13" s="1792"/>
      <c r="D13" s="1792"/>
      <c r="E13" s="1793"/>
      <c r="F13" s="470">
        <v>1</v>
      </c>
      <c r="G13" s="470">
        <f>C94</f>
        <v>0</v>
      </c>
      <c r="H13" s="470" t="str">
        <f>C95</f>
        <v>No</v>
      </c>
      <c r="I13" s="49"/>
      <c r="J13" s="49"/>
      <c r="K13" s="49"/>
      <c r="L13" s="49"/>
      <c r="M13" s="38" t="str">
        <f t="shared" si="0"/>
        <v>Yes</v>
      </c>
    </row>
    <row r="14" spans="1:15" ht="30.75" customHeight="1" x14ac:dyDescent="0.25">
      <c r="A14" s="49"/>
      <c r="B14" s="1791" t="s">
        <v>2020</v>
      </c>
      <c r="C14" s="1792"/>
      <c r="D14" s="1792"/>
      <c r="E14" s="1793"/>
      <c r="F14" s="1037">
        <v>1</v>
      </c>
      <c r="G14" s="1037">
        <f>C122</f>
        <v>0</v>
      </c>
      <c r="H14" s="1037" t="str">
        <f>C123</f>
        <v>No</v>
      </c>
      <c r="I14" s="49"/>
      <c r="J14" s="49"/>
      <c r="K14" s="49"/>
      <c r="L14" s="49"/>
      <c r="M14" s="38" t="str">
        <f t="shared" si="0"/>
        <v>Yes</v>
      </c>
    </row>
    <row r="15" spans="1:15" ht="21" customHeight="1" x14ac:dyDescent="0.25">
      <c r="A15" s="49"/>
      <c r="B15" s="1613" t="s">
        <v>79</v>
      </c>
      <c r="C15" s="1748"/>
      <c r="D15" s="1748"/>
      <c r="E15" s="1748"/>
      <c r="F15" s="631">
        <v>4</v>
      </c>
      <c r="G15" s="631">
        <f>MIN(4,SUM(G11:G14))</f>
        <v>0</v>
      </c>
      <c r="H15" s="631" t="str">
        <f>IF(COUNTIF(H11:H14,"No")=4,"No",IF(COUNTIF(M11:M14,"Yes")=4,"Yes","No"))</f>
        <v>No</v>
      </c>
      <c r="I15" s="49"/>
      <c r="J15" s="49"/>
      <c r="K15" s="49"/>
      <c r="L15" s="49"/>
    </row>
    <row r="16" spans="1:15" ht="15" customHeight="1" x14ac:dyDescent="0.25">
      <c r="A16" s="49"/>
      <c r="B16" s="49"/>
      <c r="C16" s="49"/>
      <c r="D16" s="49"/>
      <c r="E16" s="49"/>
      <c r="F16" s="49"/>
      <c r="G16" s="49"/>
      <c r="H16" s="49"/>
      <c r="I16" s="49"/>
      <c r="J16" s="49"/>
      <c r="K16" s="49"/>
      <c r="L16" s="49"/>
    </row>
    <row r="17" spans="1:14" ht="18" customHeight="1" x14ac:dyDescent="0.25">
      <c r="A17" s="2278" t="s">
        <v>621</v>
      </c>
      <c r="B17" s="2278"/>
      <c r="C17" s="2278"/>
      <c r="D17" s="2278"/>
      <c r="E17" s="2278"/>
      <c r="F17" s="2278"/>
      <c r="G17" s="2278"/>
      <c r="H17" s="2278"/>
      <c r="I17" s="2278"/>
      <c r="J17" s="2278"/>
      <c r="K17" s="2278"/>
      <c r="L17" s="2278"/>
    </row>
    <row r="18" spans="1:14" ht="12" customHeight="1" x14ac:dyDescent="0.25">
      <c r="A18" s="49"/>
      <c r="B18" s="50"/>
      <c r="C18" s="50"/>
      <c r="D18" s="50"/>
      <c r="E18" s="50"/>
      <c r="F18" s="49"/>
      <c r="G18" s="49"/>
      <c r="H18" s="49"/>
      <c r="I18" s="49"/>
      <c r="J18" s="49"/>
      <c r="K18" s="49"/>
      <c r="L18" s="49"/>
    </row>
    <row r="19" spans="1:14" ht="16.5" customHeight="1" x14ac:dyDescent="0.25">
      <c r="A19" s="2287" t="s">
        <v>245</v>
      </c>
      <c r="B19" s="2287"/>
      <c r="C19" s="2287"/>
      <c r="D19" s="50"/>
      <c r="E19" s="50"/>
      <c r="F19" s="49"/>
      <c r="G19" s="49"/>
      <c r="H19" s="49"/>
      <c r="I19" s="49"/>
      <c r="J19" s="49"/>
      <c r="K19" s="49"/>
      <c r="L19" s="49"/>
    </row>
    <row r="20" spans="1:14" x14ac:dyDescent="0.25">
      <c r="A20" s="49"/>
      <c r="B20" s="50"/>
      <c r="C20" s="50"/>
      <c r="D20" s="50"/>
      <c r="E20" s="50"/>
      <c r="F20" s="49"/>
      <c r="G20" s="49"/>
      <c r="H20" s="49"/>
      <c r="I20" s="49"/>
      <c r="J20" s="49"/>
      <c r="K20" s="49"/>
      <c r="L20" s="49"/>
    </row>
    <row r="21" spans="1:14" x14ac:dyDescent="0.25">
      <c r="A21" s="49"/>
      <c r="B21" s="581" t="s">
        <v>623</v>
      </c>
      <c r="C21" s="50"/>
      <c r="D21" s="50"/>
      <c r="E21" s="50"/>
      <c r="F21" s="49"/>
      <c r="G21" s="49"/>
      <c r="H21" s="49"/>
      <c r="I21" s="49"/>
      <c r="J21" s="49"/>
      <c r="K21" s="49"/>
      <c r="L21" s="49"/>
    </row>
    <row r="22" spans="1:14" ht="21.75" customHeight="1" x14ac:dyDescent="0.25">
      <c r="A22" s="49"/>
      <c r="B22" s="50"/>
      <c r="C22" s="50"/>
      <c r="D22" s="50"/>
      <c r="E22" s="50"/>
      <c r="F22" s="49"/>
      <c r="G22" s="49"/>
      <c r="H22" s="49"/>
      <c r="I22" s="49"/>
      <c r="J22" s="49"/>
      <c r="K22" s="49"/>
      <c r="L22" s="49"/>
    </row>
    <row r="23" spans="1:14" x14ac:dyDescent="0.25">
      <c r="A23" s="49"/>
      <c r="B23" s="642" t="s">
        <v>1417</v>
      </c>
      <c r="C23" s="50"/>
      <c r="D23" s="50"/>
      <c r="E23" s="50"/>
      <c r="F23" s="49"/>
      <c r="G23" s="49"/>
      <c r="H23" s="49"/>
      <c r="I23" s="49"/>
      <c r="J23" s="49"/>
      <c r="K23" s="49"/>
      <c r="L23" s="49"/>
    </row>
    <row r="24" spans="1:14" ht="9" customHeight="1" x14ac:dyDescent="0.25">
      <c r="A24" s="49"/>
      <c r="B24" s="50"/>
      <c r="C24" s="50"/>
      <c r="D24" s="50"/>
      <c r="E24" s="50"/>
      <c r="F24" s="49"/>
      <c r="G24" s="49"/>
      <c r="H24" s="49"/>
      <c r="I24" s="49"/>
      <c r="J24" s="49"/>
      <c r="K24" s="49"/>
      <c r="L24" s="49"/>
    </row>
    <row r="25" spans="1:14" ht="18" customHeight="1" x14ac:dyDescent="0.25">
      <c r="A25" s="49"/>
      <c r="B25" s="1843" t="s">
        <v>1204</v>
      </c>
      <c r="C25" s="1843"/>
      <c r="D25" s="1843"/>
      <c r="E25" s="1843"/>
      <c r="F25" s="1843"/>
      <c r="G25" s="1116" t="s">
        <v>124</v>
      </c>
      <c r="H25" s="49"/>
      <c r="I25" s="49"/>
      <c r="J25" s="49"/>
      <c r="K25" s="49"/>
      <c r="L25" s="49"/>
      <c r="M25" s="80" t="b">
        <v>0</v>
      </c>
      <c r="N25" s="80" t="b">
        <v>0</v>
      </c>
    </row>
    <row r="26" spans="1:14" ht="18" customHeight="1" x14ac:dyDescent="0.25">
      <c r="A26" s="49"/>
      <c r="B26" s="1843" t="s">
        <v>1203</v>
      </c>
      <c r="C26" s="1843"/>
      <c r="D26" s="1843"/>
      <c r="E26" s="1843"/>
      <c r="F26" s="1843"/>
      <c r="G26" s="1116" t="s">
        <v>124</v>
      </c>
      <c r="H26" s="49"/>
      <c r="I26" s="49"/>
      <c r="J26" s="49"/>
      <c r="K26" s="49"/>
      <c r="L26" s="49"/>
      <c r="M26" s="80" t="b">
        <v>0</v>
      </c>
      <c r="N26" s="80" t="b">
        <v>0</v>
      </c>
    </row>
    <row r="27" spans="1:14" ht="15" customHeight="1" x14ac:dyDescent="0.25">
      <c r="A27" s="49"/>
      <c r="B27" s="49"/>
      <c r="C27" s="49"/>
      <c r="D27" s="49"/>
      <c r="E27" s="49"/>
      <c r="F27" s="49"/>
      <c r="G27" s="739"/>
      <c r="H27" s="49"/>
      <c r="I27" s="49"/>
      <c r="J27" s="49"/>
      <c r="K27" s="49"/>
      <c r="L27" s="49"/>
    </row>
    <row r="28" spans="1:14" ht="15" customHeight="1" x14ac:dyDescent="0.25">
      <c r="A28" s="49"/>
      <c r="B28" s="2291" t="s">
        <v>635</v>
      </c>
      <c r="C28" s="2338"/>
      <c r="D28" s="2345"/>
      <c r="E28" s="2346"/>
      <c r="F28" s="49"/>
      <c r="G28" s="49"/>
      <c r="H28" s="49"/>
      <c r="I28" s="49"/>
      <c r="J28" s="49"/>
      <c r="K28" s="49"/>
      <c r="L28" s="49"/>
    </row>
    <row r="29" spans="1:14" ht="15" customHeight="1" x14ac:dyDescent="0.25">
      <c r="A29" s="49"/>
      <c r="B29" s="2291" t="s">
        <v>636</v>
      </c>
      <c r="C29" s="2338"/>
      <c r="D29" s="2345"/>
      <c r="E29" s="2346"/>
      <c r="F29" s="49"/>
      <c r="G29" s="49"/>
      <c r="H29" s="49"/>
      <c r="I29" s="49"/>
      <c r="J29" s="49"/>
      <c r="K29" s="49"/>
      <c r="L29" s="49"/>
    </row>
    <row r="30" spans="1:14" ht="27" customHeight="1" x14ac:dyDescent="0.25">
      <c r="A30" s="49"/>
      <c r="B30" s="2291" t="s">
        <v>633</v>
      </c>
      <c r="C30" s="2338"/>
      <c r="D30" s="2347"/>
      <c r="E30" s="2348"/>
      <c r="F30" s="2348"/>
      <c r="G30" s="2348"/>
      <c r="H30" s="2349"/>
      <c r="I30" s="49"/>
      <c r="J30" s="49"/>
      <c r="K30" s="49"/>
      <c r="L30" s="49"/>
    </row>
    <row r="31" spans="1:14" ht="16.5" customHeight="1" x14ac:dyDescent="0.25">
      <c r="A31" s="49"/>
      <c r="B31" s="50"/>
      <c r="C31" s="50"/>
      <c r="D31" s="50"/>
      <c r="E31" s="50"/>
      <c r="F31" s="49"/>
      <c r="G31" s="49"/>
      <c r="H31" s="49"/>
      <c r="I31" s="49"/>
      <c r="J31" s="49"/>
      <c r="K31" s="49"/>
      <c r="L31" s="49"/>
    </row>
    <row r="32" spans="1:14" ht="18" customHeight="1" x14ac:dyDescent="0.25">
      <c r="A32" s="49"/>
      <c r="B32" s="2271" t="s">
        <v>634</v>
      </c>
      <c r="C32" s="2271"/>
      <c r="D32" s="2271"/>
      <c r="E32" s="257" t="str">
        <f>IF(AND(D30&lt;&gt;"",D28&lt;&gt;"",D29&lt;&gt;"",COUNTIF(G25:G26,"Yes")=2),"Yes","No")</f>
        <v>No</v>
      </c>
      <c r="F32" s="49"/>
      <c r="G32" s="49"/>
      <c r="H32" s="49"/>
      <c r="I32" s="49"/>
      <c r="J32" s="49"/>
      <c r="K32" s="49"/>
      <c r="L32" s="49"/>
    </row>
    <row r="33" spans="1:12" ht="16.5" customHeight="1" x14ac:dyDescent="0.25">
      <c r="A33" s="49"/>
      <c r="B33" s="50"/>
      <c r="C33" s="50"/>
      <c r="D33" s="50"/>
      <c r="E33" s="49"/>
      <c r="F33" s="49"/>
      <c r="G33" s="49"/>
      <c r="H33" s="49"/>
      <c r="I33" s="49"/>
      <c r="J33" s="49"/>
      <c r="K33" s="49"/>
      <c r="L33" s="49"/>
    </row>
    <row r="34" spans="1:12" ht="16.5" customHeight="1" x14ac:dyDescent="0.25">
      <c r="A34" s="2287" t="s">
        <v>186</v>
      </c>
      <c r="B34" s="2287"/>
      <c r="C34" s="2287"/>
      <c r="D34" s="49"/>
      <c r="E34" s="49"/>
      <c r="F34" s="49"/>
      <c r="G34" s="49"/>
      <c r="H34" s="49"/>
      <c r="I34" s="49"/>
      <c r="J34" s="49"/>
      <c r="K34" s="49"/>
      <c r="L34" s="49"/>
    </row>
    <row r="35" spans="1:12" ht="16.5" customHeight="1" x14ac:dyDescent="0.25">
      <c r="A35" s="49"/>
      <c r="B35" s="50"/>
      <c r="C35" s="50"/>
      <c r="D35" s="50"/>
      <c r="E35" s="49"/>
      <c r="F35" s="49"/>
      <c r="G35" s="49"/>
      <c r="H35" s="49"/>
      <c r="I35" s="49"/>
      <c r="J35" s="49"/>
      <c r="K35" s="49"/>
      <c r="L35" s="49"/>
    </row>
    <row r="36" spans="1:12" ht="18" customHeight="1" x14ac:dyDescent="0.25">
      <c r="A36" s="49"/>
      <c r="B36" s="2280" t="s">
        <v>1739</v>
      </c>
      <c r="C36" s="2281"/>
      <c r="D36" s="2281"/>
      <c r="E36" s="2281"/>
      <c r="F36" s="2281"/>
      <c r="G36" s="1112" t="s">
        <v>1737</v>
      </c>
      <c r="H36" s="2282" t="s">
        <v>1738</v>
      </c>
      <c r="I36" s="2283"/>
      <c r="J36" s="49"/>
      <c r="K36" s="49"/>
      <c r="L36" s="49"/>
    </row>
    <row r="37" spans="1:12" ht="24" customHeight="1" x14ac:dyDescent="0.25">
      <c r="A37" s="49"/>
      <c r="B37" s="2231" t="s">
        <v>1544</v>
      </c>
      <c r="C37" s="2232"/>
      <c r="D37" s="2232"/>
      <c r="E37" s="2232"/>
      <c r="F37" s="2233"/>
      <c r="G37" s="471" t="s">
        <v>124</v>
      </c>
      <c r="H37" s="1931"/>
      <c r="I37" s="1932"/>
      <c r="J37" s="49"/>
      <c r="K37" s="49"/>
      <c r="L37" s="49"/>
    </row>
    <row r="38" spans="1:12" x14ac:dyDescent="0.25">
      <c r="A38" s="49"/>
      <c r="B38" s="50"/>
      <c r="C38" s="50"/>
      <c r="D38" s="50"/>
      <c r="E38" s="49"/>
      <c r="F38" s="49"/>
      <c r="G38" s="49"/>
      <c r="H38" s="49"/>
      <c r="I38" s="49"/>
      <c r="J38" s="49"/>
      <c r="K38" s="49"/>
      <c r="L38" s="49"/>
    </row>
    <row r="39" spans="1:12" ht="16.5" customHeight="1" x14ac:dyDescent="0.25">
      <c r="A39" s="2287" t="s">
        <v>22</v>
      </c>
      <c r="B39" s="2287"/>
      <c r="C39" s="2287"/>
      <c r="D39" s="49"/>
      <c r="E39" s="49"/>
      <c r="F39" s="49"/>
      <c r="G39" s="49"/>
      <c r="H39" s="49"/>
      <c r="I39" s="49"/>
      <c r="J39" s="49"/>
      <c r="K39" s="49"/>
      <c r="L39" s="49"/>
    </row>
    <row r="40" spans="1:12" x14ac:dyDescent="0.25">
      <c r="A40" s="49"/>
      <c r="B40" s="50"/>
      <c r="C40" s="50"/>
      <c r="D40" s="50"/>
      <c r="E40" s="50"/>
      <c r="F40" s="49"/>
      <c r="G40" s="49"/>
      <c r="H40" s="49"/>
      <c r="I40" s="49"/>
      <c r="J40" s="49"/>
      <c r="K40" s="49"/>
      <c r="L40" s="49"/>
    </row>
    <row r="41" spans="1:12" ht="18" customHeight="1" x14ac:dyDescent="0.25">
      <c r="A41" s="49"/>
      <c r="B41" s="256" t="s">
        <v>53</v>
      </c>
      <c r="C41" s="10">
        <f>IF(E32="Yes",1,0)</f>
        <v>0</v>
      </c>
      <c r="D41" s="50"/>
      <c r="E41" s="49"/>
      <c r="F41" s="49"/>
      <c r="G41" s="49"/>
      <c r="H41" s="49"/>
      <c r="I41" s="49"/>
      <c r="J41" s="49"/>
      <c r="K41" s="49"/>
      <c r="L41" s="49"/>
    </row>
    <row r="42" spans="1:12" ht="18" customHeight="1" x14ac:dyDescent="0.25">
      <c r="A42" s="49"/>
      <c r="B42" s="256" t="s">
        <v>492</v>
      </c>
      <c r="C42" s="181" t="str">
        <f>IF(AND(G37="Submitted",C41&gt;0),"Yes","No")</f>
        <v>No</v>
      </c>
      <c r="D42" s="50"/>
      <c r="E42" s="50"/>
      <c r="F42" s="49"/>
      <c r="G42" s="49"/>
      <c r="H42" s="49"/>
      <c r="I42" s="49"/>
      <c r="J42" s="49"/>
      <c r="K42" s="49"/>
      <c r="L42" s="49"/>
    </row>
    <row r="43" spans="1:12" ht="19.5" customHeight="1" x14ac:dyDescent="0.25">
      <c r="A43" s="49"/>
      <c r="B43" s="50"/>
      <c r="C43" s="50"/>
      <c r="D43" s="50"/>
      <c r="E43" s="50"/>
      <c r="F43" s="49"/>
      <c r="G43" s="49"/>
      <c r="H43" s="49"/>
      <c r="I43" s="49"/>
      <c r="J43" s="49"/>
      <c r="K43" s="49"/>
      <c r="L43" s="49"/>
    </row>
    <row r="44" spans="1:12" ht="18" customHeight="1" x14ac:dyDescent="0.25">
      <c r="A44" s="2278" t="s">
        <v>872</v>
      </c>
      <c r="B44" s="2278"/>
      <c r="C44" s="2278"/>
      <c r="D44" s="2278"/>
      <c r="E44" s="2278"/>
      <c r="F44" s="2278"/>
      <c r="G44" s="2278"/>
      <c r="H44" s="2278"/>
      <c r="I44" s="2278"/>
      <c r="J44" s="2278"/>
      <c r="K44" s="2278"/>
      <c r="L44" s="2278"/>
    </row>
    <row r="45" spans="1:12" ht="15" customHeight="1" x14ac:dyDescent="0.25">
      <c r="A45" s="49"/>
      <c r="B45" s="50"/>
      <c r="C45" s="50"/>
      <c r="D45" s="50"/>
      <c r="E45" s="50"/>
      <c r="F45" s="49"/>
      <c r="G45" s="49"/>
      <c r="H45" s="49"/>
      <c r="I45" s="49"/>
      <c r="J45" s="49"/>
      <c r="K45" s="49"/>
      <c r="L45" s="49"/>
    </row>
    <row r="46" spans="1:12" ht="16.5" customHeight="1" x14ac:dyDescent="0.25">
      <c r="A46" s="2287" t="s">
        <v>245</v>
      </c>
      <c r="B46" s="2287"/>
      <c r="C46" s="2287"/>
      <c r="D46" s="50"/>
      <c r="E46" s="50"/>
      <c r="F46" s="49"/>
      <c r="G46" s="49"/>
      <c r="H46" s="49"/>
      <c r="I46" s="49"/>
      <c r="J46" s="49"/>
      <c r="K46" s="49"/>
      <c r="L46" s="49"/>
    </row>
    <row r="47" spans="1:12" x14ac:dyDescent="0.25">
      <c r="A47" s="49"/>
      <c r="B47" s="50"/>
      <c r="C47" s="50"/>
      <c r="D47" s="50"/>
      <c r="E47" s="50"/>
      <c r="F47" s="49"/>
      <c r="G47" s="49"/>
      <c r="H47" s="49"/>
      <c r="I47" s="49"/>
      <c r="J47" s="49"/>
      <c r="K47" s="49"/>
      <c r="L47" s="49"/>
    </row>
    <row r="48" spans="1:12" x14ac:dyDescent="0.25">
      <c r="A48" s="49"/>
      <c r="B48" s="581" t="s">
        <v>1206</v>
      </c>
      <c r="C48" s="50"/>
      <c r="D48" s="50"/>
      <c r="E48" s="50"/>
      <c r="F48" s="49"/>
      <c r="G48" s="49"/>
      <c r="H48" s="49"/>
      <c r="I48" s="49"/>
      <c r="J48" s="49"/>
      <c r="K48" s="49"/>
      <c r="L48" s="49"/>
    </row>
    <row r="49" spans="1:14" ht="18" customHeight="1" x14ac:dyDescent="0.25">
      <c r="A49" s="49"/>
      <c r="B49" s="50"/>
      <c r="C49" s="50"/>
      <c r="D49" s="50"/>
      <c r="E49" s="50"/>
      <c r="F49" s="49"/>
      <c r="G49" s="49"/>
      <c r="H49" s="49"/>
      <c r="I49" s="49"/>
      <c r="J49" s="49"/>
      <c r="K49" s="49"/>
      <c r="L49" s="49"/>
    </row>
    <row r="50" spans="1:14" x14ac:dyDescent="0.25">
      <c r="A50" s="49"/>
      <c r="B50" s="642" t="s">
        <v>1163</v>
      </c>
      <c r="C50" s="50"/>
      <c r="D50" s="50"/>
      <c r="E50" s="50"/>
      <c r="F50" s="49"/>
      <c r="G50" s="49"/>
      <c r="H50" s="49"/>
      <c r="I50" s="49"/>
      <c r="J50" s="49"/>
      <c r="K50" s="49"/>
      <c r="L50" s="49"/>
    </row>
    <row r="51" spans="1:14" ht="9" customHeight="1" x14ac:dyDescent="0.25">
      <c r="A51" s="49"/>
      <c r="B51" s="50"/>
      <c r="C51" s="50"/>
      <c r="D51" s="50"/>
      <c r="E51" s="50"/>
      <c r="F51" s="49"/>
      <c r="G51" s="49"/>
      <c r="H51" s="49"/>
      <c r="I51" s="49"/>
      <c r="J51" s="49"/>
      <c r="K51" s="49"/>
      <c r="L51" s="49"/>
    </row>
    <row r="52" spans="1:14" ht="21" customHeight="1" x14ac:dyDescent="0.25">
      <c r="A52" s="49"/>
      <c r="B52" s="1576" t="s">
        <v>1205</v>
      </c>
      <c r="C52" s="1577"/>
      <c r="D52" s="1577"/>
      <c r="E52" s="1577"/>
      <c r="F52" s="1578"/>
      <c r="G52" s="1036" t="s">
        <v>124</v>
      </c>
      <c r="H52" s="49"/>
      <c r="I52" s="49"/>
      <c r="J52" s="49"/>
      <c r="K52" s="49"/>
      <c r="L52" s="49"/>
      <c r="M52" s="80" t="b">
        <v>0</v>
      </c>
      <c r="N52" s="80" t="b">
        <v>0</v>
      </c>
    </row>
    <row r="53" spans="1:14" ht="18" customHeight="1" x14ac:dyDescent="0.25">
      <c r="A53" s="49"/>
      <c r="B53" s="49"/>
      <c r="C53" s="49"/>
      <c r="D53" s="49"/>
      <c r="E53" s="49"/>
      <c r="F53" s="49"/>
      <c r="G53" s="49"/>
      <c r="H53" s="49"/>
      <c r="I53" s="49"/>
      <c r="J53" s="49"/>
      <c r="K53" s="49"/>
      <c r="L53" s="49"/>
    </row>
    <row r="54" spans="1:14" ht="18" customHeight="1" x14ac:dyDescent="0.25">
      <c r="A54" s="49"/>
      <c r="B54" s="2271" t="s">
        <v>632</v>
      </c>
      <c r="C54" s="2271"/>
      <c r="D54" s="2271"/>
      <c r="E54" s="257" t="str">
        <f>IF(G52="Yes","Yes","No")</f>
        <v>No</v>
      </c>
      <c r="F54" s="49"/>
      <c r="G54" s="49"/>
      <c r="H54" s="49"/>
      <c r="I54" s="49"/>
      <c r="J54" s="49"/>
      <c r="K54" s="49"/>
      <c r="L54" s="49"/>
    </row>
    <row r="55" spans="1:14" ht="16.5" customHeight="1" x14ac:dyDescent="0.25">
      <c r="A55" s="49"/>
      <c r="B55" s="50"/>
      <c r="C55" s="50"/>
      <c r="D55" s="50"/>
      <c r="E55" s="49"/>
      <c r="F55" s="49"/>
      <c r="G55" s="49"/>
      <c r="H55" s="49"/>
      <c r="I55" s="49"/>
      <c r="J55" s="49"/>
      <c r="K55" s="49"/>
      <c r="L55" s="49"/>
    </row>
    <row r="56" spans="1:14" ht="16.5" customHeight="1" x14ac:dyDescent="0.25">
      <c r="A56" s="2287" t="s">
        <v>186</v>
      </c>
      <c r="B56" s="2287"/>
      <c r="C56" s="2287"/>
      <c r="D56" s="49"/>
      <c r="E56" s="49"/>
      <c r="F56" s="49"/>
      <c r="G56" s="49"/>
      <c r="H56" s="49"/>
      <c r="I56" s="49"/>
      <c r="J56" s="49"/>
      <c r="K56" s="49"/>
      <c r="L56" s="49"/>
    </row>
    <row r="57" spans="1:14" x14ac:dyDescent="0.25">
      <c r="A57" s="49"/>
      <c r="B57" s="50"/>
      <c r="C57" s="50"/>
      <c r="D57" s="50"/>
      <c r="E57" s="49"/>
      <c r="F57" s="49"/>
      <c r="G57" s="49"/>
      <c r="H57" s="49"/>
      <c r="I57" s="49"/>
      <c r="J57" s="49"/>
      <c r="K57" s="49"/>
      <c r="L57" s="49"/>
    </row>
    <row r="58" spans="1:14" ht="15" customHeight="1" x14ac:dyDescent="0.25">
      <c r="A58" s="49"/>
      <c r="B58" s="2245" t="s">
        <v>575</v>
      </c>
      <c r="C58" s="2245"/>
      <c r="D58" s="2245"/>
      <c r="E58" s="2245"/>
      <c r="F58" s="2245"/>
      <c r="G58" s="2245"/>
      <c r="H58" s="49"/>
      <c r="I58" s="49"/>
      <c r="J58" s="49"/>
      <c r="K58" s="49"/>
      <c r="L58" s="49"/>
    </row>
    <row r="59" spans="1:14" x14ac:dyDescent="0.25">
      <c r="A59" s="49"/>
      <c r="B59" s="50"/>
      <c r="C59" s="50"/>
      <c r="D59" s="50"/>
      <c r="E59" s="49"/>
      <c r="F59" s="49"/>
      <c r="G59" s="49"/>
      <c r="H59" s="49"/>
      <c r="I59" s="49"/>
      <c r="J59" s="49"/>
      <c r="K59" s="49"/>
      <c r="L59" s="49"/>
    </row>
    <row r="60" spans="1:14" ht="16.5" customHeight="1" x14ac:dyDescent="0.25">
      <c r="A60" s="2287" t="s">
        <v>22</v>
      </c>
      <c r="B60" s="2287"/>
      <c r="C60" s="2287"/>
      <c r="D60" s="49"/>
      <c r="E60" s="49"/>
      <c r="F60" s="49"/>
      <c r="G60" s="49"/>
      <c r="H60" s="49"/>
      <c r="I60" s="49"/>
      <c r="J60" s="49"/>
      <c r="K60" s="49"/>
      <c r="L60" s="49"/>
    </row>
    <row r="61" spans="1:14" x14ac:dyDescent="0.25">
      <c r="A61" s="49"/>
      <c r="B61" s="50"/>
      <c r="C61" s="50"/>
      <c r="D61" s="50"/>
      <c r="E61" s="50"/>
      <c r="F61" s="49"/>
      <c r="G61" s="49"/>
      <c r="H61" s="49"/>
      <c r="I61" s="49"/>
      <c r="J61" s="49"/>
      <c r="K61" s="49"/>
      <c r="L61" s="49"/>
    </row>
    <row r="62" spans="1:14" ht="18" customHeight="1" x14ac:dyDescent="0.25">
      <c r="A62" s="49"/>
      <c r="B62" s="256" t="s">
        <v>53</v>
      </c>
      <c r="C62" s="10">
        <f>IF(E54="Yes",1,0)</f>
        <v>0</v>
      </c>
      <c r="D62" s="50"/>
      <c r="E62" s="49"/>
      <c r="F62" s="49"/>
      <c r="G62" s="49"/>
      <c r="H62" s="49"/>
      <c r="I62" s="49"/>
      <c r="J62" s="49"/>
      <c r="K62" s="49"/>
      <c r="L62" s="49"/>
    </row>
    <row r="63" spans="1:14" ht="18" customHeight="1" x14ac:dyDescent="0.25">
      <c r="A63" s="49"/>
      <c r="B63" s="256" t="s">
        <v>492</v>
      </c>
      <c r="C63" s="181" t="str">
        <f>IF(C62&gt;0,"Yes","No")</f>
        <v>No</v>
      </c>
      <c r="D63" s="50"/>
      <c r="E63" s="50"/>
      <c r="F63" s="49"/>
      <c r="G63" s="49"/>
      <c r="H63" s="49"/>
      <c r="I63" s="49"/>
      <c r="J63" s="49"/>
      <c r="K63" s="49"/>
      <c r="L63" s="49"/>
    </row>
    <row r="64" spans="1:14" ht="19.5" customHeight="1" x14ac:dyDescent="0.25">
      <c r="A64" s="49"/>
      <c r="B64" s="50"/>
      <c r="C64" s="50"/>
      <c r="D64" s="50"/>
      <c r="E64" s="50"/>
      <c r="F64" s="49"/>
      <c r="G64" s="49"/>
      <c r="H64" s="49"/>
      <c r="I64" s="49"/>
      <c r="J64" s="49"/>
      <c r="K64" s="49"/>
      <c r="L64" s="49"/>
    </row>
    <row r="65" spans="1:12" ht="18" customHeight="1" x14ac:dyDescent="0.25">
      <c r="A65" s="2278" t="s">
        <v>873</v>
      </c>
      <c r="B65" s="2278"/>
      <c r="C65" s="2278"/>
      <c r="D65" s="2278"/>
      <c r="E65" s="2278"/>
      <c r="F65" s="2278"/>
      <c r="G65" s="2278"/>
      <c r="H65" s="2278"/>
      <c r="I65" s="2278"/>
      <c r="J65" s="2278"/>
      <c r="K65" s="2278"/>
      <c r="L65" s="2278"/>
    </row>
    <row r="66" spans="1:12" x14ac:dyDescent="0.25">
      <c r="A66" s="49"/>
      <c r="B66" s="50"/>
      <c r="C66" s="50"/>
      <c r="D66" s="50"/>
      <c r="E66" s="50"/>
      <c r="F66" s="49"/>
      <c r="G66" s="49"/>
      <c r="H66" s="49"/>
      <c r="I66" s="49"/>
      <c r="J66" s="49"/>
      <c r="K66" s="49"/>
      <c r="L66" s="49"/>
    </row>
    <row r="67" spans="1:12" ht="16.5" customHeight="1" x14ac:dyDescent="0.25">
      <c r="A67" s="2287" t="s">
        <v>245</v>
      </c>
      <c r="B67" s="2287"/>
      <c r="C67" s="2287"/>
      <c r="D67" s="50"/>
      <c r="E67" s="50"/>
      <c r="F67" s="49"/>
      <c r="G67" s="49"/>
      <c r="H67" s="49"/>
      <c r="I67" s="49"/>
      <c r="J67" s="49"/>
      <c r="K67" s="49"/>
      <c r="L67" s="49"/>
    </row>
    <row r="68" spans="1:12" x14ac:dyDescent="0.25">
      <c r="A68" s="49"/>
      <c r="B68" s="50"/>
      <c r="C68" s="50"/>
      <c r="D68" s="50"/>
      <c r="E68" s="50"/>
      <c r="F68" s="49"/>
      <c r="G68" s="49"/>
      <c r="H68" s="49"/>
      <c r="I68" s="49"/>
      <c r="J68" s="49"/>
      <c r="K68" s="49"/>
      <c r="L68" s="49"/>
    </row>
    <row r="69" spans="1:12" ht="18" customHeight="1" x14ac:dyDescent="0.25">
      <c r="A69" s="49"/>
      <c r="B69" s="641" t="s">
        <v>2122</v>
      </c>
      <c r="C69" s="50"/>
      <c r="D69" s="50"/>
      <c r="E69" s="50"/>
      <c r="F69" s="49"/>
      <c r="G69" s="49"/>
      <c r="H69" s="49"/>
      <c r="I69" s="49"/>
      <c r="J69" s="49"/>
      <c r="K69" s="49"/>
      <c r="L69" s="49"/>
    </row>
    <row r="70" spans="1:12" ht="15" customHeight="1" x14ac:dyDescent="0.25">
      <c r="A70" s="49"/>
      <c r="B70" s="794"/>
      <c r="C70" s="50"/>
      <c r="D70" s="50"/>
      <c r="E70" s="50"/>
      <c r="F70" s="49"/>
      <c r="G70" s="49"/>
      <c r="H70" s="49"/>
      <c r="I70" s="49"/>
      <c r="J70" s="49"/>
      <c r="K70" s="49"/>
      <c r="L70" s="49"/>
    </row>
    <row r="71" spans="1:12" ht="16.5" customHeight="1" x14ac:dyDescent="0.25">
      <c r="A71" s="49"/>
      <c r="B71" s="585" t="s">
        <v>626</v>
      </c>
      <c r="C71" s="623"/>
      <c r="D71" s="623"/>
      <c r="E71" s="623"/>
      <c r="F71" s="623"/>
      <c r="G71" s="623"/>
      <c r="H71" s="623"/>
      <c r="I71" s="624"/>
      <c r="J71" s="49"/>
      <c r="K71" s="49"/>
      <c r="L71" s="49"/>
    </row>
    <row r="72" spans="1:12" ht="27" customHeight="1" x14ac:dyDescent="0.25">
      <c r="A72" s="49"/>
      <c r="B72" s="2342" t="s">
        <v>2390</v>
      </c>
      <c r="C72" s="2343"/>
      <c r="D72" s="2343"/>
      <c r="E72" s="2343"/>
      <c r="F72" s="2343"/>
      <c r="G72" s="2343"/>
      <c r="H72" s="2343"/>
      <c r="I72" s="2344"/>
      <c r="J72" s="49"/>
      <c r="K72" s="49"/>
      <c r="L72" s="49"/>
    </row>
    <row r="73" spans="1:12" ht="16.5" customHeight="1" x14ac:dyDescent="0.25">
      <c r="A73" s="49"/>
      <c r="B73" s="1906" t="s">
        <v>2389</v>
      </c>
      <c r="C73" s="1783"/>
      <c r="D73" s="1783"/>
      <c r="E73" s="1783"/>
      <c r="F73" s="1783"/>
      <c r="G73" s="1783"/>
      <c r="H73" s="1783"/>
      <c r="I73" s="1784"/>
      <c r="J73" s="49"/>
      <c r="K73" s="49"/>
      <c r="L73" s="49"/>
    </row>
    <row r="74" spans="1:12" ht="16.5" customHeight="1" x14ac:dyDescent="0.25">
      <c r="A74" s="49"/>
      <c r="B74" s="1906" t="s">
        <v>2327</v>
      </c>
      <c r="C74" s="1783"/>
      <c r="D74" s="1783"/>
      <c r="E74" s="1783"/>
      <c r="F74" s="1783"/>
      <c r="G74" s="1783"/>
      <c r="H74" s="1783"/>
      <c r="I74" s="1784"/>
      <c r="J74" s="49"/>
      <c r="K74" s="49"/>
      <c r="L74" s="49"/>
    </row>
    <row r="75" spans="1:12" ht="16.5" customHeight="1" x14ac:dyDescent="0.25">
      <c r="A75" s="49"/>
      <c r="B75" s="787" t="s">
        <v>2391</v>
      </c>
      <c r="C75" s="788"/>
      <c r="D75" s="788"/>
      <c r="E75" s="788"/>
      <c r="F75" s="788"/>
      <c r="G75" s="788"/>
      <c r="H75" s="788"/>
      <c r="I75" s="789"/>
      <c r="J75" s="49"/>
      <c r="K75" s="49"/>
      <c r="L75" s="49"/>
    </row>
    <row r="76" spans="1:12" x14ac:dyDescent="0.25">
      <c r="A76" s="49"/>
      <c r="B76" s="49"/>
      <c r="C76" s="49"/>
      <c r="D76" s="49"/>
      <c r="E76" s="49"/>
      <c r="F76" s="49"/>
      <c r="G76" s="49"/>
      <c r="H76" s="49"/>
      <c r="I76" s="49"/>
      <c r="J76" s="49"/>
      <c r="K76" s="49"/>
      <c r="L76" s="49"/>
    </row>
    <row r="77" spans="1:12" x14ac:dyDescent="0.25">
      <c r="A77" s="49"/>
      <c r="B77" s="185" t="s">
        <v>627</v>
      </c>
      <c r="C77" s="50"/>
      <c r="D77" s="50"/>
      <c r="E77" s="50"/>
      <c r="F77" s="49"/>
      <c r="G77" s="49"/>
      <c r="H77" s="49"/>
      <c r="I77" s="49"/>
      <c r="J77" s="49"/>
      <c r="K77" s="49"/>
      <c r="L77" s="49"/>
    </row>
    <row r="78" spans="1:12" ht="18" customHeight="1" x14ac:dyDescent="0.25">
      <c r="A78" s="49"/>
      <c r="B78" s="2291" t="s">
        <v>628</v>
      </c>
      <c r="C78" s="2338"/>
      <c r="D78" s="2345"/>
      <c r="E78" s="2346"/>
      <c r="F78" s="49"/>
      <c r="G78" s="49"/>
      <c r="H78" s="49"/>
      <c r="I78" s="49"/>
      <c r="J78" s="49"/>
      <c r="K78" s="49"/>
      <c r="L78" s="49"/>
    </row>
    <row r="79" spans="1:12" ht="25.5" customHeight="1" x14ac:dyDescent="0.25">
      <c r="A79" s="49"/>
      <c r="B79" s="2291" t="s">
        <v>629</v>
      </c>
      <c r="C79" s="2338"/>
      <c r="D79" s="2347"/>
      <c r="E79" s="2348"/>
      <c r="F79" s="2348"/>
      <c r="G79" s="2348"/>
      <c r="H79" s="2349"/>
      <c r="I79" s="49"/>
      <c r="J79" s="49"/>
      <c r="K79" s="49"/>
      <c r="L79" s="49"/>
    </row>
    <row r="80" spans="1:12" x14ac:dyDescent="0.25">
      <c r="A80" s="49"/>
      <c r="B80" s="50"/>
      <c r="C80" s="50"/>
      <c r="D80" s="50"/>
      <c r="E80" s="50"/>
      <c r="F80" s="49"/>
      <c r="G80" s="49"/>
      <c r="H80" s="49"/>
      <c r="I80" s="49"/>
      <c r="J80" s="49"/>
      <c r="K80" s="49"/>
      <c r="L80" s="49"/>
    </row>
    <row r="81" spans="1:12" x14ac:dyDescent="0.25">
      <c r="A81" s="49"/>
      <c r="B81" s="185" t="s">
        <v>630</v>
      </c>
      <c r="C81" s="50"/>
      <c r="D81" s="50"/>
      <c r="E81" s="50"/>
      <c r="F81" s="49"/>
      <c r="G81" s="49"/>
      <c r="H81" s="49"/>
      <c r="I81" s="49"/>
      <c r="J81" s="49"/>
      <c r="K81" s="49"/>
      <c r="L81" s="49"/>
    </row>
    <row r="82" spans="1:12" x14ac:dyDescent="0.25">
      <c r="A82" s="49"/>
      <c r="B82" s="2291" t="s">
        <v>628</v>
      </c>
      <c r="C82" s="2338"/>
      <c r="D82" s="2345"/>
      <c r="E82" s="2346"/>
      <c r="F82" s="49"/>
      <c r="G82" s="49"/>
      <c r="H82" s="49"/>
      <c r="I82" s="49"/>
      <c r="J82" s="49"/>
      <c r="K82" s="49"/>
      <c r="L82" s="49"/>
    </row>
    <row r="83" spans="1:12" ht="25.5" customHeight="1" x14ac:dyDescent="0.25">
      <c r="A83" s="49"/>
      <c r="B83" s="2291" t="s">
        <v>629</v>
      </c>
      <c r="C83" s="2338"/>
      <c r="D83" s="2347"/>
      <c r="E83" s="2348"/>
      <c r="F83" s="2348"/>
      <c r="G83" s="2348"/>
      <c r="H83" s="2349"/>
      <c r="I83" s="49"/>
      <c r="J83" s="49"/>
      <c r="K83" s="49"/>
      <c r="L83" s="49"/>
    </row>
    <row r="84" spans="1:12" x14ac:dyDescent="0.25">
      <c r="A84" s="49"/>
      <c r="B84" s="49"/>
      <c r="C84" s="49"/>
      <c r="D84" s="49"/>
      <c r="E84" s="49"/>
      <c r="F84" s="49"/>
      <c r="G84" s="49"/>
      <c r="H84" s="49"/>
      <c r="I84" s="49"/>
      <c r="J84" s="49"/>
      <c r="K84" s="49"/>
      <c r="L84" s="49"/>
    </row>
    <row r="85" spans="1:12" ht="18" customHeight="1" x14ac:dyDescent="0.25">
      <c r="A85" s="49"/>
      <c r="B85" s="2271" t="s">
        <v>631</v>
      </c>
      <c r="C85" s="2271"/>
      <c r="D85" s="2271"/>
      <c r="E85" s="257" t="str">
        <f>IF(AND(D83&lt;&gt;"",D78&lt;&gt;"",D82&lt;&gt;"",D79&lt;&gt;""),"Yes","No")</f>
        <v>No</v>
      </c>
      <c r="F85" s="49"/>
      <c r="G85" s="49"/>
      <c r="H85" s="49"/>
      <c r="I85" s="49"/>
      <c r="J85" s="49"/>
      <c r="K85" s="49"/>
      <c r="L85" s="49"/>
    </row>
    <row r="86" spans="1:12" ht="18" customHeight="1" x14ac:dyDescent="0.25">
      <c r="A86" s="49"/>
      <c r="B86" s="50"/>
      <c r="C86" s="50"/>
      <c r="D86" s="50"/>
      <c r="E86" s="49"/>
      <c r="F86" s="49"/>
      <c r="G86" s="49"/>
      <c r="H86" s="49"/>
      <c r="I86" s="49"/>
      <c r="J86" s="49"/>
      <c r="K86" s="49"/>
      <c r="L86" s="49"/>
    </row>
    <row r="87" spans="1:12" ht="16.5" customHeight="1" x14ac:dyDescent="0.25">
      <c r="A87" s="2287" t="s">
        <v>186</v>
      </c>
      <c r="B87" s="2287"/>
      <c r="C87" s="2287"/>
      <c r="D87" s="49"/>
      <c r="E87" s="49"/>
      <c r="F87" s="49"/>
      <c r="G87" s="49"/>
      <c r="H87" s="49"/>
      <c r="I87" s="49"/>
      <c r="J87" s="49"/>
      <c r="K87" s="49"/>
      <c r="L87" s="49"/>
    </row>
    <row r="88" spans="1:12" ht="16.5" customHeight="1" x14ac:dyDescent="0.25">
      <c r="A88" s="49"/>
      <c r="B88" s="50"/>
      <c r="C88" s="50"/>
      <c r="D88" s="50"/>
      <c r="E88" s="49"/>
      <c r="F88" s="49"/>
      <c r="G88" s="49"/>
      <c r="H88" s="49"/>
      <c r="I88" s="49"/>
      <c r="J88" s="49"/>
      <c r="K88" s="49"/>
      <c r="L88" s="49"/>
    </row>
    <row r="89" spans="1:12" ht="18" customHeight="1" x14ac:dyDescent="0.25">
      <c r="A89" s="49"/>
      <c r="B89" s="2280" t="s">
        <v>1739</v>
      </c>
      <c r="C89" s="2281"/>
      <c r="D89" s="2281"/>
      <c r="E89" s="2281"/>
      <c r="F89" s="2281"/>
      <c r="G89" s="1112" t="s">
        <v>1737</v>
      </c>
      <c r="H89" s="2282" t="s">
        <v>1738</v>
      </c>
      <c r="I89" s="2283"/>
      <c r="J89" s="49"/>
      <c r="K89" s="49"/>
      <c r="L89" s="49"/>
    </row>
    <row r="90" spans="1:12" ht="27.75" customHeight="1" x14ac:dyDescent="0.25">
      <c r="A90" s="49"/>
      <c r="B90" s="2231" t="s">
        <v>1545</v>
      </c>
      <c r="C90" s="2232"/>
      <c r="D90" s="2232"/>
      <c r="E90" s="2232"/>
      <c r="F90" s="2233"/>
      <c r="G90" s="471" t="s">
        <v>124</v>
      </c>
      <c r="H90" s="1931"/>
      <c r="I90" s="1932"/>
      <c r="J90" s="49"/>
      <c r="K90" s="49"/>
      <c r="L90" s="49"/>
    </row>
    <row r="91" spans="1:12" x14ac:dyDescent="0.25">
      <c r="A91" s="49"/>
      <c r="B91" s="50"/>
      <c r="C91" s="50"/>
      <c r="D91" s="50"/>
      <c r="E91" s="49"/>
      <c r="F91" s="49"/>
      <c r="G91" s="49"/>
      <c r="H91" s="49"/>
      <c r="I91" s="49"/>
      <c r="J91" s="49"/>
      <c r="K91" s="49"/>
      <c r="L91" s="49"/>
    </row>
    <row r="92" spans="1:12" ht="16.5" customHeight="1" x14ac:dyDescent="0.25">
      <c r="A92" s="2287" t="s">
        <v>22</v>
      </c>
      <c r="B92" s="2287"/>
      <c r="C92" s="2287"/>
      <c r="D92" s="49"/>
      <c r="E92" s="49"/>
      <c r="F92" s="49"/>
      <c r="G92" s="49"/>
      <c r="H92" s="49"/>
      <c r="I92" s="49"/>
      <c r="J92" s="49"/>
      <c r="K92" s="49"/>
      <c r="L92" s="49"/>
    </row>
    <row r="93" spans="1:12" x14ac:dyDescent="0.25">
      <c r="A93" s="49"/>
      <c r="B93" s="50"/>
      <c r="C93" s="50"/>
      <c r="D93" s="50"/>
      <c r="E93" s="50"/>
      <c r="F93" s="49"/>
      <c r="G93" s="49"/>
      <c r="H93" s="49"/>
      <c r="I93" s="49"/>
      <c r="J93" s="49"/>
      <c r="K93" s="49"/>
      <c r="L93" s="49"/>
    </row>
    <row r="94" spans="1:12" ht="18" customHeight="1" x14ac:dyDescent="0.25">
      <c r="A94" s="49"/>
      <c r="B94" s="256" t="s">
        <v>53</v>
      </c>
      <c r="C94" s="10">
        <f>IF(E85="Yes",1,0)</f>
        <v>0</v>
      </c>
      <c r="D94" s="50"/>
      <c r="E94" s="49"/>
      <c r="F94" s="49"/>
      <c r="G94" s="49"/>
      <c r="H94" s="49"/>
      <c r="I94" s="49"/>
      <c r="J94" s="49"/>
      <c r="K94" s="49"/>
      <c r="L94" s="49"/>
    </row>
    <row r="95" spans="1:12" ht="18" customHeight="1" x14ac:dyDescent="0.25">
      <c r="A95" s="49"/>
      <c r="B95" s="256" t="s">
        <v>492</v>
      </c>
      <c r="C95" s="181" t="str">
        <f>IF(AND(G90="Submitted",C94&gt;0),"Yes","No")</f>
        <v>No</v>
      </c>
      <c r="D95" s="50"/>
      <c r="E95" s="50"/>
      <c r="F95" s="49"/>
      <c r="G95" s="49"/>
      <c r="H95" s="49"/>
      <c r="I95" s="49"/>
      <c r="J95" s="49"/>
      <c r="K95" s="49"/>
      <c r="L95" s="49"/>
    </row>
    <row r="96" spans="1:12" ht="21.75" customHeight="1" x14ac:dyDescent="0.25">
      <c r="A96" s="49"/>
      <c r="B96" s="50"/>
      <c r="C96" s="50"/>
      <c r="D96" s="50"/>
      <c r="E96" s="50"/>
      <c r="F96" s="49"/>
      <c r="G96" s="49"/>
      <c r="H96" s="49"/>
      <c r="I96" s="49"/>
      <c r="J96" s="49"/>
      <c r="K96" s="49"/>
      <c r="L96" s="49"/>
    </row>
    <row r="97" spans="1:12" ht="18" customHeight="1" x14ac:dyDescent="0.25">
      <c r="A97" s="2278" t="s">
        <v>2019</v>
      </c>
      <c r="B97" s="2278"/>
      <c r="C97" s="2278"/>
      <c r="D97" s="2278"/>
      <c r="E97" s="2278"/>
      <c r="F97" s="2278"/>
      <c r="G97" s="2278"/>
      <c r="H97" s="2278"/>
      <c r="I97" s="2278"/>
      <c r="J97" s="2278"/>
      <c r="K97" s="2278"/>
      <c r="L97" s="2278"/>
    </row>
    <row r="98" spans="1:12" x14ac:dyDescent="0.25">
      <c r="A98" s="49"/>
      <c r="B98" s="50"/>
      <c r="C98" s="50"/>
      <c r="D98" s="50"/>
      <c r="E98" s="50"/>
      <c r="F98" s="49"/>
      <c r="G98" s="49"/>
      <c r="H98" s="49"/>
      <c r="I98" s="49"/>
      <c r="J98" s="49"/>
      <c r="K98" s="49"/>
      <c r="L98" s="49"/>
    </row>
    <row r="99" spans="1:12" ht="16.5" customHeight="1" x14ac:dyDescent="0.25">
      <c r="A99" s="2287" t="s">
        <v>245</v>
      </c>
      <c r="B99" s="2287"/>
      <c r="C99" s="2287"/>
      <c r="D99" s="50"/>
      <c r="E99" s="50"/>
      <c r="F99" s="49"/>
      <c r="G99" s="49"/>
      <c r="H99" s="49"/>
      <c r="I99" s="49"/>
      <c r="J99" s="49"/>
      <c r="K99" s="49"/>
      <c r="L99" s="49"/>
    </row>
    <row r="100" spans="1:12" x14ac:dyDescent="0.25">
      <c r="A100" s="49"/>
      <c r="B100" s="50"/>
      <c r="C100" s="50"/>
      <c r="D100" s="50"/>
      <c r="E100" s="50"/>
      <c r="F100" s="49"/>
      <c r="G100" s="49"/>
      <c r="H100" s="49"/>
      <c r="I100" s="49"/>
      <c r="J100" s="49"/>
      <c r="K100" s="49"/>
      <c r="L100" s="49"/>
    </row>
    <row r="101" spans="1:12" ht="18" customHeight="1" x14ac:dyDescent="0.25">
      <c r="A101" s="49"/>
      <c r="B101" s="641" t="s">
        <v>2021</v>
      </c>
      <c r="C101" s="50"/>
      <c r="D101" s="50"/>
      <c r="E101" s="50"/>
      <c r="F101" s="49"/>
      <c r="G101" s="49"/>
      <c r="H101" s="49"/>
      <c r="I101" s="49"/>
      <c r="J101" s="49"/>
      <c r="K101" s="49"/>
      <c r="L101" s="49"/>
    </row>
    <row r="102" spans="1:12" ht="15" customHeight="1" x14ac:dyDescent="0.25">
      <c r="A102" s="49"/>
      <c r="B102" s="794"/>
      <c r="C102" s="50"/>
      <c r="D102" s="50"/>
      <c r="E102" s="50"/>
      <c r="F102" s="49"/>
      <c r="G102" s="49"/>
      <c r="H102" s="49"/>
      <c r="I102" s="49"/>
      <c r="J102" s="49"/>
      <c r="K102" s="49"/>
      <c r="L102" s="49"/>
    </row>
    <row r="103" spans="1:12" ht="16.5" customHeight="1" x14ac:dyDescent="0.25">
      <c r="A103" s="49"/>
      <c r="B103" s="1072" t="s">
        <v>2022</v>
      </c>
      <c r="C103" s="1073"/>
      <c r="D103" s="1073"/>
      <c r="E103" s="1073"/>
      <c r="F103" s="1073"/>
      <c r="G103" s="1073"/>
      <c r="H103" s="1073"/>
      <c r="I103" s="1074"/>
      <c r="J103" s="49"/>
      <c r="K103" s="49"/>
      <c r="L103" s="49"/>
    </row>
    <row r="104" spans="1:12" ht="15" customHeight="1" x14ac:dyDescent="0.25">
      <c r="A104" s="49"/>
      <c r="B104" s="2342" t="s">
        <v>2025</v>
      </c>
      <c r="C104" s="2343"/>
      <c r="D104" s="2343"/>
      <c r="E104" s="2343"/>
      <c r="F104" s="2343"/>
      <c r="G104" s="2343"/>
      <c r="H104" s="2343"/>
      <c r="I104" s="2344"/>
      <c r="J104" s="49"/>
      <c r="K104" s="49"/>
      <c r="L104" s="49"/>
    </row>
    <row r="105" spans="1:12" ht="15" customHeight="1" x14ac:dyDescent="0.25">
      <c r="A105" s="49"/>
      <c r="B105" s="1038" t="s">
        <v>2024</v>
      </c>
      <c r="C105" s="1039"/>
      <c r="D105" s="1039"/>
      <c r="E105" s="1039"/>
      <c r="F105" s="1039"/>
      <c r="G105" s="1039"/>
      <c r="H105" s="1039"/>
      <c r="I105" s="1040"/>
      <c r="J105" s="49"/>
      <c r="K105" s="49"/>
      <c r="L105" s="49"/>
    </row>
    <row r="106" spans="1:12" ht="15" customHeight="1" x14ac:dyDescent="0.25">
      <c r="A106" s="49"/>
      <c r="B106" s="1041" t="s">
        <v>2023</v>
      </c>
      <c r="C106" s="1042"/>
      <c r="D106" s="1042"/>
      <c r="E106" s="1042"/>
      <c r="F106" s="1042"/>
      <c r="G106" s="1042"/>
      <c r="H106" s="1042"/>
      <c r="I106" s="1043"/>
      <c r="J106" s="49"/>
      <c r="K106" s="49"/>
      <c r="L106" s="49"/>
    </row>
    <row r="107" spans="1:12" ht="16.5" customHeight="1" x14ac:dyDescent="0.25">
      <c r="A107" s="49"/>
      <c r="B107" s="49"/>
      <c r="C107" s="49"/>
      <c r="D107" s="49"/>
      <c r="E107" s="49"/>
      <c r="F107" s="49"/>
      <c r="G107" s="49"/>
      <c r="H107" s="49"/>
      <c r="I107" s="49"/>
      <c r="J107" s="49"/>
      <c r="K107" s="49"/>
      <c r="L107" s="49"/>
    </row>
    <row r="108" spans="1:12" x14ac:dyDescent="0.25">
      <c r="A108" s="49"/>
      <c r="B108" s="642" t="s">
        <v>2027</v>
      </c>
      <c r="C108" s="50"/>
      <c r="D108" s="50"/>
      <c r="E108" s="50"/>
      <c r="F108" s="49"/>
      <c r="G108" s="49"/>
      <c r="H108" s="49"/>
      <c r="I108" s="49"/>
      <c r="J108" s="49"/>
      <c r="K108" s="49"/>
      <c r="L108" s="49"/>
    </row>
    <row r="109" spans="1:12" x14ac:dyDescent="0.25">
      <c r="A109" s="49"/>
      <c r="B109" s="185"/>
      <c r="C109" s="50"/>
      <c r="D109" s="50"/>
      <c r="E109" s="50"/>
      <c r="F109" s="49"/>
      <c r="G109" s="49"/>
      <c r="H109" s="49"/>
      <c r="I109" s="49"/>
      <c r="J109" s="49"/>
      <c r="K109" s="49"/>
      <c r="L109" s="49"/>
    </row>
    <row r="110" spans="1:12" ht="18" customHeight="1" x14ac:dyDescent="0.25">
      <c r="A110" s="49"/>
      <c r="B110" s="2291" t="s">
        <v>2026</v>
      </c>
      <c r="C110" s="2338"/>
      <c r="D110" s="1045"/>
      <c r="E110" s="50"/>
      <c r="F110" s="49"/>
      <c r="G110" s="49"/>
      <c r="H110" s="49"/>
      <c r="I110" s="49"/>
      <c r="J110" s="49"/>
      <c r="K110" s="49"/>
      <c r="L110" s="49"/>
    </row>
    <row r="111" spans="1:12" ht="18" customHeight="1" x14ac:dyDescent="0.25">
      <c r="A111" s="49"/>
      <c r="B111" s="2291" t="s">
        <v>2028</v>
      </c>
      <c r="C111" s="2338"/>
      <c r="D111" s="1045"/>
      <c r="E111" s="50"/>
      <c r="F111" s="49"/>
      <c r="G111" s="49"/>
      <c r="H111" s="49"/>
      <c r="I111" s="49"/>
      <c r="J111" s="49"/>
      <c r="K111" s="49"/>
      <c r="L111" s="49"/>
    </row>
    <row r="112" spans="1:12" x14ac:dyDescent="0.25">
      <c r="A112" s="49"/>
      <c r="B112" s="49"/>
      <c r="C112" s="49"/>
      <c r="D112" s="49"/>
      <c r="E112" s="50"/>
      <c r="F112" s="49"/>
      <c r="G112" s="49"/>
      <c r="H112" s="49"/>
      <c r="I112" s="49"/>
      <c r="J112" s="49"/>
      <c r="K112" s="49"/>
      <c r="L112" s="49"/>
    </row>
    <row r="113" spans="1:12" ht="18" customHeight="1" x14ac:dyDescent="0.25">
      <c r="A113" s="49"/>
      <c r="B113" s="2340" t="s">
        <v>2029</v>
      </c>
      <c r="C113" s="2341"/>
      <c r="D113" s="257" t="str">
        <f>IFERROR(D111/D110,"")</f>
        <v/>
      </c>
      <c r="E113" s="50"/>
      <c r="F113" s="49"/>
      <c r="G113" s="49"/>
      <c r="H113" s="49"/>
      <c r="I113" s="49"/>
      <c r="J113" s="49"/>
      <c r="K113" s="49"/>
      <c r="L113" s="49"/>
    </row>
    <row r="114" spans="1:12" ht="18" customHeight="1" x14ac:dyDescent="0.25">
      <c r="A114" s="49"/>
      <c r="B114" s="50"/>
      <c r="C114" s="50"/>
      <c r="D114" s="50"/>
      <c r="E114" s="50"/>
      <c r="F114" s="49"/>
      <c r="G114" s="49"/>
      <c r="H114" s="49"/>
      <c r="I114" s="49"/>
      <c r="J114" s="49"/>
      <c r="K114" s="49"/>
      <c r="L114" s="49"/>
    </row>
    <row r="115" spans="1:12" ht="16.5" customHeight="1" x14ac:dyDescent="0.25">
      <c r="A115" s="2287" t="s">
        <v>186</v>
      </c>
      <c r="B115" s="2287"/>
      <c r="C115" s="2287"/>
      <c r="D115" s="49"/>
      <c r="E115" s="49"/>
      <c r="F115" s="49"/>
      <c r="G115" s="49"/>
      <c r="H115" s="49"/>
      <c r="I115" s="49"/>
      <c r="J115" s="49"/>
      <c r="K115" s="49"/>
      <c r="L115" s="49"/>
    </row>
    <row r="116" spans="1:12" ht="16.5" customHeight="1" x14ac:dyDescent="0.25">
      <c r="A116" s="49"/>
      <c r="B116" s="50"/>
      <c r="C116" s="50"/>
      <c r="D116" s="50"/>
      <c r="E116" s="49"/>
      <c r="F116" s="49"/>
      <c r="G116" s="49"/>
      <c r="H116" s="49"/>
      <c r="I116" s="49"/>
      <c r="J116" s="49"/>
      <c r="K116" s="49"/>
      <c r="L116" s="49"/>
    </row>
    <row r="117" spans="1:12" ht="18" customHeight="1" x14ac:dyDescent="0.25">
      <c r="A117" s="49"/>
      <c r="B117" s="2280" t="s">
        <v>1739</v>
      </c>
      <c r="C117" s="2281"/>
      <c r="D117" s="2281"/>
      <c r="E117" s="2281"/>
      <c r="F117" s="2281"/>
      <c r="G117" s="1112" t="s">
        <v>1737</v>
      </c>
      <c r="H117" s="2282" t="s">
        <v>1738</v>
      </c>
      <c r="I117" s="2283"/>
      <c r="J117" s="49"/>
      <c r="K117" s="49"/>
      <c r="L117" s="49"/>
    </row>
    <row r="118" spans="1:12" ht="24" customHeight="1" x14ac:dyDescent="0.25">
      <c r="A118" s="49"/>
      <c r="B118" s="2231" t="s">
        <v>2030</v>
      </c>
      <c r="C118" s="2232"/>
      <c r="D118" s="2232"/>
      <c r="E118" s="2232"/>
      <c r="F118" s="2233"/>
      <c r="G118" s="1036" t="s">
        <v>124</v>
      </c>
      <c r="H118" s="1931"/>
      <c r="I118" s="1932"/>
      <c r="J118" s="49"/>
      <c r="K118" s="49"/>
      <c r="L118" s="49"/>
    </row>
    <row r="119" spans="1:12" x14ac:dyDescent="0.25">
      <c r="A119" s="49"/>
      <c r="B119" s="50"/>
      <c r="C119" s="50"/>
      <c r="D119" s="50"/>
      <c r="E119" s="49"/>
      <c r="F119" s="49"/>
      <c r="G119" s="49"/>
      <c r="H119" s="49"/>
      <c r="I119" s="49"/>
      <c r="J119" s="49"/>
      <c r="K119" s="49"/>
      <c r="L119" s="49"/>
    </row>
    <row r="120" spans="1:12" ht="16.5" customHeight="1" x14ac:dyDescent="0.25">
      <c r="A120" s="2287" t="s">
        <v>22</v>
      </c>
      <c r="B120" s="2287"/>
      <c r="C120" s="2287"/>
      <c r="D120" s="49"/>
      <c r="E120" s="49"/>
      <c r="F120" s="49"/>
      <c r="G120" s="49"/>
      <c r="H120" s="49"/>
      <c r="I120" s="49"/>
      <c r="J120" s="49"/>
      <c r="K120" s="49"/>
      <c r="L120" s="49"/>
    </row>
    <row r="121" spans="1:12" x14ac:dyDescent="0.25">
      <c r="A121" s="49"/>
      <c r="B121" s="50"/>
      <c r="C121" s="50"/>
      <c r="D121" s="50"/>
      <c r="E121" s="50"/>
      <c r="F121" s="49"/>
      <c r="G121" s="49"/>
      <c r="H121" s="49"/>
      <c r="I121" s="49"/>
      <c r="J121" s="49"/>
      <c r="K121" s="49"/>
      <c r="L121" s="49"/>
    </row>
    <row r="122" spans="1:12" ht="18" customHeight="1" x14ac:dyDescent="0.25">
      <c r="A122" s="49"/>
      <c r="B122" s="256" t="s">
        <v>53</v>
      </c>
      <c r="C122" s="1047">
        <f>IF(D113="",0,IF(D113&gt;=0.1,1,0))</f>
        <v>0</v>
      </c>
      <c r="D122" s="50"/>
      <c r="E122" s="49"/>
      <c r="F122" s="49"/>
      <c r="G122" s="49"/>
      <c r="H122" s="49"/>
      <c r="I122" s="49"/>
      <c r="J122" s="49"/>
      <c r="K122" s="49"/>
      <c r="L122" s="49"/>
    </row>
    <row r="123" spans="1:12" ht="18" customHeight="1" x14ac:dyDescent="0.25">
      <c r="A123" s="49"/>
      <c r="B123" s="256" t="s">
        <v>492</v>
      </c>
      <c r="C123" s="181" t="str">
        <f>IF(AND(G118="Submitted",C122&gt;0),"Yes","No")</f>
        <v>No</v>
      </c>
      <c r="D123" s="50"/>
      <c r="E123" s="50"/>
      <c r="F123" s="49"/>
      <c r="G123" s="49"/>
      <c r="H123" s="49"/>
      <c r="I123" s="49"/>
      <c r="J123" s="49"/>
      <c r="K123" s="49"/>
      <c r="L123" s="49"/>
    </row>
    <row r="124" spans="1:12" x14ac:dyDescent="0.25">
      <c r="A124" s="49"/>
      <c r="B124" s="50"/>
      <c r="C124" s="50"/>
      <c r="D124" s="50"/>
      <c r="E124" s="50"/>
      <c r="F124" s="49"/>
      <c r="G124" s="49"/>
      <c r="H124" s="49"/>
      <c r="I124" s="49"/>
      <c r="J124" s="49"/>
      <c r="K124" s="49"/>
      <c r="L124" s="49"/>
    </row>
  </sheetData>
  <sheetProtection algorithmName="SHA-512" hashValue="ZA7yPzos7YwPDgXqJyiu4U33i6SngAsPVyx9XpHq3Q/CWoJf+Su9nVVNnICc62hi3Jcb63rnzVj7j8cczQGjbQ==" saltValue="PL2vzwXu1wfXb6u+fARa0w==" spinCount="100000" sheet="1" objects="1" scenarios="1"/>
  <mergeCells count="65">
    <mergeCell ref="B73:I73"/>
    <mergeCell ref="A8:L8"/>
    <mergeCell ref="A19:C19"/>
    <mergeCell ref="A5:L6"/>
    <mergeCell ref="B15:E15"/>
    <mergeCell ref="A56:C56"/>
    <mergeCell ref="B26:F26"/>
    <mergeCell ref="B30:C30"/>
    <mergeCell ref="D30:H30"/>
    <mergeCell ref="B10:E10"/>
    <mergeCell ref="B11:E11"/>
    <mergeCell ref="B25:F25"/>
    <mergeCell ref="B12:E12"/>
    <mergeCell ref="B13:E13"/>
    <mergeCell ref="A17:L17"/>
    <mergeCell ref="B14:E14"/>
    <mergeCell ref="B28:C28"/>
    <mergeCell ref="D28:E28"/>
    <mergeCell ref="B29:C29"/>
    <mergeCell ref="D29:E29"/>
    <mergeCell ref="B32:D32"/>
    <mergeCell ref="A44:L44"/>
    <mergeCell ref="A39:C39"/>
    <mergeCell ref="A34:C34"/>
    <mergeCell ref="B36:F36"/>
    <mergeCell ref="H36:I36"/>
    <mergeCell ref="H2:J4"/>
    <mergeCell ref="A92:C92"/>
    <mergeCell ref="B90:F90"/>
    <mergeCell ref="B37:F37"/>
    <mergeCell ref="B85:D85"/>
    <mergeCell ref="B52:F52"/>
    <mergeCell ref="B54:D54"/>
    <mergeCell ref="B82:C82"/>
    <mergeCell ref="D82:E82"/>
    <mergeCell ref="B83:C83"/>
    <mergeCell ref="D83:H83"/>
    <mergeCell ref="D79:H79"/>
    <mergeCell ref="B72:I72"/>
    <mergeCell ref="B78:C78"/>
    <mergeCell ref="A60:C60"/>
    <mergeCell ref="D78:E78"/>
    <mergeCell ref="A120:C120"/>
    <mergeCell ref="B113:C113"/>
    <mergeCell ref="B111:C111"/>
    <mergeCell ref="B110:C110"/>
    <mergeCell ref="A97:L97"/>
    <mergeCell ref="A99:C99"/>
    <mergeCell ref="B104:I104"/>
    <mergeCell ref="H90:I90"/>
    <mergeCell ref="H37:I37"/>
    <mergeCell ref="H118:I118"/>
    <mergeCell ref="B117:F117"/>
    <mergeCell ref="H117:I117"/>
    <mergeCell ref="B89:F89"/>
    <mergeCell ref="H89:I89"/>
    <mergeCell ref="A115:C115"/>
    <mergeCell ref="B118:F118"/>
    <mergeCell ref="A67:C67"/>
    <mergeCell ref="A87:C87"/>
    <mergeCell ref="B79:C79"/>
    <mergeCell ref="A46:C46"/>
    <mergeCell ref="B58:G58"/>
    <mergeCell ref="A65:L65"/>
    <mergeCell ref="B74:I74"/>
  </mergeCells>
  <conditionalFormatting sqref="G90">
    <cfRule type="expression" dxfId="16" priority="9">
      <formula>#REF!&lt;&gt;"Prescriptive Path"</formula>
    </cfRule>
  </conditionalFormatting>
  <conditionalFormatting sqref="G37">
    <cfRule type="expression" dxfId="15" priority="8">
      <formula>#REF!&lt;&gt;"Prescriptive Path"</formula>
    </cfRule>
  </conditionalFormatting>
  <conditionalFormatting sqref="G118">
    <cfRule type="expression" dxfId="14" priority="7">
      <formula>#REF!&lt;&gt;"Prescriptive Path"</formula>
    </cfRule>
  </conditionalFormatting>
  <conditionalFormatting sqref="H118">
    <cfRule type="expression" dxfId="13" priority="6">
      <formula>#REF!&lt;&gt;"Prescriptive Path"</formula>
    </cfRule>
  </conditionalFormatting>
  <conditionalFormatting sqref="H117:I117">
    <cfRule type="expression" dxfId="12" priority="5">
      <formula>#REF!&lt;&gt;"Prescriptive Path"</formula>
    </cfRule>
  </conditionalFormatting>
  <conditionalFormatting sqref="H89:I89">
    <cfRule type="expression" dxfId="11" priority="4">
      <formula>#REF!&lt;&gt;"Prescriptive Path"</formula>
    </cfRule>
  </conditionalFormatting>
  <conditionalFormatting sqref="H36:I36">
    <cfRule type="expression" dxfId="10" priority="3">
      <formula>#REF!&lt;&gt;"Prescriptive Path"</formula>
    </cfRule>
  </conditionalFormatting>
  <conditionalFormatting sqref="H90">
    <cfRule type="expression" dxfId="9" priority="2">
      <formula>#REF!&lt;&gt;"Prescriptive Path"</formula>
    </cfRule>
  </conditionalFormatting>
  <conditionalFormatting sqref="H37">
    <cfRule type="expression" dxfId="8" priority="1">
      <formula>#REF!&lt;&gt;"Prescriptive Path"</formula>
    </cfRule>
  </conditionalFormatting>
  <dataValidations count="2">
    <dataValidation type="list" allowBlank="1" showInputMessage="1" showErrorMessage="1" sqref="G90 G37 G118" xr:uid="{00000000-0002-0000-3600-000000000000}">
      <formula1>"Submitted,Not submitted"</formula1>
    </dataValidation>
    <dataValidation type="list" allowBlank="1" showInputMessage="1" showErrorMessage="1" sqref="G52 G25:G26" xr:uid="{00000000-0002-0000-3600-000001000000}">
      <formula1>"Select,Yes,No"</formula1>
    </dataValidation>
  </dataValidations>
  <hyperlinks>
    <hyperlink ref="L3" location="'CM-4 Access for PWD'!B3" tooltip="CM-4" display="CM-4" xr:uid="{00000000-0004-0000-3600-000000000000}"/>
    <hyperlink ref="K3" location="'CM-2 Construction Management'!B3" tooltip="CM-2" display="CM-2" xr:uid="{00000000-0004-0000-3600-000001000000}"/>
    <hyperlink ref="K4" location="'CM-3 Operational Management'!C3" tooltip="CM-3" display="CM-3" xr:uid="{00000000-0004-0000-3600-000002000000}"/>
    <hyperlink ref="K2" location="'CM-1 Design Stage'!C3" tooltip="CM-1" display="CM-1" xr:uid="{00000000-0004-0000-3600-000003000000}"/>
  </hyperlinks>
  <pageMargins left="0.7" right="0.7" top="0.75" bottom="0.75" header="0.3" footer="0.3"/>
  <pageSetup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8">
    <tabColor rgb="FFFFC000"/>
  </sheetPr>
  <dimension ref="A1:Q54"/>
  <sheetViews>
    <sheetView showRowColHeaders="0" zoomScale="90" zoomScaleNormal="90" workbookViewId="0">
      <selection activeCell="E12" sqref="E12"/>
    </sheetView>
  </sheetViews>
  <sheetFormatPr defaultColWidth="0" defaultRowHeight="0" customHeight="1" zeroHeight="1" x14ac:dyDescent="0.25"/>
  <cols>
    <col min="1" max="1" width="5.7109375" customWidth="1"/>
    <col min="2" max="2" width="31.7109375" customWidth="1"/>
    <col min="3" max="3" width="3.7109375" customWidth="1"/>
    <col min="4" max="4" width="9.5703125" customWidth="1"/>
    <col min="5" max="5" width="24.28515625" customWidth="1"/>
    <col min="6" max="6" width="23.7109375" customWidth="1"/>
    <col min="7" max="8" width="18.7109375" customWidth="1"/>
    <col min="9" max="9" width="9.42578125" customWidth="1"/>
    <col min="10" max="10" width="8" customWidth="1"/>
    <col min="11" max="11" width="4" customWidth="1"/>
    <col min="12" max="12" width="5.42578125" customWidth="1"/>
    <col min="13" max="17" width="0" hidden="1" customWidth="1"/>
    <col min="18" max="16384" width="9.140625" hidden="1"/>
  </cols>
  <sheetData>
    <row r="1" spans="1:12" ht="30" customHeight="1" x14ac:dyDescent="0.25">
      <c r="A1" s="361"/>
      <c r="B1" s="2354" t="s">
        <v>150</v>
      </c>
      <c r="C1" s="362"/>
      <c r="D1" s="311"/>
      <c r="E1" s="312"/>
      <c r="F1" s="312"/>
      <c r="G1" s="312"/>
      <c r="H1" s="312"/>
      <c r="I1" s="312"/>
      <c r="J1" s="312"/>
      <c r="K1" s="312"/>
      <c r="L1" s="313"/>
    </row>
    <row r="2" spans="1:12" ht="28.5" customHeight="1" x14ac:dyDescent="0.25">
      <c r="A2" s="363"/>
      <c r="B2" s="2355"/>
      <c r="C2" s="364"/>
      <c r="D2" s="314"/>
      <c r="E2" s="315"/>
      <c r="F2" s="315"/>
      <c r="G2" s="315"/>
      <c r="H2" s="315"/>
      <c r="I2" s="315"/>
      <c r="J2" s="315"/>
      <c r="K2" s="315"/>
      <c r="L2" s="316"/>
    </row>
    <row r="3" spans="1:12" ht="25.5" customHeight="1" x14ac:dyDescent="0.25">
      <c r="A3" s="363"/>
      <c r="B3" s="2355"/>
      <c r="C3" s="364"/>
      <c r="D3" s="314"/>
      <c r="E3" s="315"/>
      <c r="F3" s="315"/>
      <c r="G3" s="315"/>
      <c r="H3" s="315"/>
      <c r="I3" s="315"/>
      <c r="J3" s="315"/>
      <c r="K3" s="315"/>
      <c r="L3" s="316"/>
    </row>
    <row r="4" spans="1:12" ht="15" customHeight="1" x14ac:dyDescent="0.25">
      <c r="A4" s="363"/>
      <c r="B4" s="2356" t="s">
        <v>2328</v>
      </c>
      <c r="C4" s="365"/>
      <c r="D4" s="314"/>
      <c r="E4" s="2357" t="s">
        <v>363</v>
      </c>
      <c r="F4" s="2357"/>
      <c r="G4" s="2358" t="s">
        <v>364</v>
      </c>
      <c r="H4" s="2358" t="s">
        <v>53</v>
      </c>
      <c r="I4" s="315"/>
      <c r="J4" s="315"/>
      <c r="K4" s="315"/>
      <c r="L4" s="316"/>
    </row>
    <row r="5" spans="1:12" ht="15" customHeight="1" x14ac:dyDescent="0.25">
      <c r="A5" s="363"/>
      <c r="B5" s="2356"/>
      <c r="C5" s="365"/>
      <c r="D5" s="314"/>
      <c r="E5" s="2357"/>
      <c r="F5" s="2357"/>
      <c r="G5" s="2358"/>
      <c r="H5" s="2358"/>
      <c r="I5" s="315"/>
      <c r="J5" s="315"/>
      <c r="K5" s="315"/>
      <c r="L5" s="316"/>
    </row>
    <row r="6" spans="1:12" ht="23.25" customHeight="1" x14ac:dyDescent="0.25">
      <c r="A6" s="363"/>
      <c r="B6" s="2356"/>
      <c r="C6" s="365"/>
      <c r="D6" s="314"/>
      <c r="E6" s="2359" t="s">
        <v>266</v>
      </c>
      <c r="F6" s="2360"/>
      <c r="G6" s="2352">
        <v>4</v>
      </c>
      <c r="H6" s="165">
        <f>'Inn-1 Exceptional Performance '!G12</f>
        <v>0</v>
      </c>
      <c r="I6" s="315"/>
      <c r="J6" s="315"/>
      <c r="K6" s="315"/>
      <c r="L6" s="316"/>
    </row>
    <row r="7" spans="1:12" ht="23.25" customHeight="1" x14ac:dyDescent="0.25">
      <c r="A7" s="363"/>
      <c r="B7" s="2356"/>
      <c r="C7" s="365"/>
      <c r="D7" s="314"/>
      <c r="E7" s="2359" t="s">
        <v>267</v>
      </c>
      <c r="F7" s="2360"/>
      <c r="G7" s="2353"/>
      <c r="H7" s="165">
        <f>'Inn-2 Innovative Techniques'!G12</f>
        <v>0</v>
      </c>
      <c r="I7" s="315"/>
      <c r="J7" s="315"/>
      <c r="K7" s="315"/>
      <c r="L7" s="316"/>
    </row>
    <row r="8" spans="1:12" ht="24" customHeight="1" x14ac:dyDescent="0.25">
      <c r="A8" s="366"/>
      <c r="B8" s="2356"/>
      <c r="C8" s="365"/>
      <c r="D8" s="314"/>
      <c r="E8" s="110" t="s">
        <v>79</v>
      </c>
      <c r="F8" s="111"/>
      <c r="G8" s="112">
        <f>SUM(G6:G7)</f>
        <v>4</v>
      </c>
      <c r="H8" s="112">
        <f>MIN(4,SUM(H6:H7))</f>
        <v>0</v>
      </c>
      <c r="I8" s="315"/>
      <c r="J8" s="315"/>
      <c r="K8" s="315"/>
      <c r="L8" s="316"/>
    </row>
    <row r="9" spans="1:12" ht="15" customHeight="1" x14ac:dyDescent="0.25">
      <c r="A9" s="366"/>
      <c r="B9" s="2356"/>
      <c r="C9" s="365"/>
      <c r="D9" s="314"/>
      <c r="E9" s="315"/>
      <c r="F9" s="315"/>
      <c r="G9" s="315"/>
      <c r="H9" s="315"/>
      <c r="I9" s="315"/>
      <c r="J9" s="315"/>
      <c r="K9" s="315"/>
      <c r="L9" s="316"/>
    </row>
    <row r="10" spans="1:12" ht="15" customHeight="1" x14ac:dyDescent="0.25">
      <c r="A10" s="366"/>
      <c r="B10" s="367"/>
      <c r="C10" s="368"/>
      <c r="D10" s="314"/>
      <c r="E10" s="315"/>
      <c r="F10" s="315"/>
      <c r="G10" s="315"/>
      <c r="H10" s="315"/>
      <c r="I10" s="315"/>
      <c r="J10" s="315"/>
      <c r="K10" s="315"/>
      <c r="L10" s="316"/>
    </row>
    <row r="11" spans="1:12" ht="15" customHeight="1" x14ac:dyDescent="0.25">
      <c r="A11" s="366"/>
      <c r="B11" s="367"/>
      <c r="C11" s="368"/>
      <c r="D11" s="314"/>
      <c r="E11" s="315"/>
      <c r="F11" s="315"/>
      <c r="G11" s="315"/>
      <c r="H11" s="315"/>
      <c r="I11" s="315"/>
      <c r="J11" s="315"/>
      <c r="K11" s="315"/>
      <c r="L11" s="316"/>
    </row>
    <row r="12" spans="1:12" ht="15" customHeight="1" x14ac:dyDescent="0.25">
      <c r="A12" s="366"/>
      <c r="B12" s="367"/>
      <c r="C12" s="368"/>
      <c r="D12" s="314"/>
      <c r="E12" s="315"/>
      <c r="F12" s="315"/>
      <c r="G12" s="315"/>
      <c r="H12" s="315"/>
      <c r="I12" s="315"/>
      <c r="J12" s="315"/>
      <c r="K12" s="315"/>
      <c r="L12" s="316"/>
    </row>
    <row r="13" spans="1:12" ht="15" customHeight="1" x14ac:dyDescent="0.25">
      <c r="A13" s="2350"/>
      <c r="B13" s="2351"/>
      <c r="C13" s="369"/>
      <c r="D13" s="317"/>
      <c r="E13" s="318"/>
      <c r="F13" s="318"/>
      <c r="G13" s="318"/>
      <c r="H13" s="318"/>
      <c r="I13" s="318"/>
      <c r="J13" s="318"/>
      <c r="K13" s="318"/>
      <c r="L13" s="319"/>
    </row>
    <row r="14" spans="1:12" ht="15" hidden="1" customHeight="1" x14ac:dyDescent="0.25">
      <c r="A14" s="87"/>
      <c r="B14" s="99"/>
      <c r="C14" s="99"/>
      <c r="D14" s="1"/>
      <c r="E14" s="1"/>
      <c r="F14" s="1"/>
      <c r="G14" s="1"/>
      <c r="H14" s="1"/>
      <c r="I14" s="1"/>
      <c r="J14" s="1"/>
      <c r="K14" s="1"/>
      <c r="L14" s="1"/>
    </row>
    <row r="15" spans="1:12" ht="15" hidden="1" customHeight="1" x14ac:dyDescent="0.25">
      <c r="A15" s="87"/>
      <c r="B15" s="99"/>
      <c r="C15" s="99"/>
      <c r="D15" s="1"/>
      <c r="E15" s="1"/>
      <c r="F15" s="1"/>
      <c r="G15" s="1"/>
      <c r="H15" s="1"/>
      <c r="I15" s="1"/>
      <c r="J15" s="1"/>
      <c r="K15" s="1"/>
      <c r="L15" s="1"/>
    </row>
    <row r="16" spans="1:12" ht="15" hidden="1" customHeight="1" x14ac:dyDescent="0.25">
      <c r="A16" s="87"/>
      <c r="B16" s="99"/>
      <c r="C16" s="99"/>
      <c r="D16" s="1"/>
      <c r="E16" s="1"/>
      <c r="F16" s="1"/>
      <c r="G16" s="1"/>
      <c r="H16" s="1"/>
      <c r="I16" s="1"/>
      <c r="J16" s="1"/>
      <c r="K16" s="1"/>
      <c r="L16" s="1"/>
    </row>
    <row r="17" spans="1:12" ht="15" hidden="1" customHeight="1" x14ac:dyDescent="0.25">
      <c r="A17" s="87"/>
      <c r="B17" s="99"/>
      <c r="C17" s="99"/>
      <c r="D17" s="1"/>
      <c r="E17" s="1"/>
      <c r="F17" s="1"/>
      <c r="G17" s="1"/>
      <c r="H17" s="1"/>
      <c r="I17" s="1"/>
      <c r="J17" s="1"/>
      <c r="K17" s="1"/>
      <c r="L17" s="1"/>
    </row>
    <row r="18" spans="1:12" ht="15" hidden="1" customHeight="1" x14ac:dyDescent="0.25">
      <c r="A18" s="1"/>
      <c r="B18" s="2"/>
      <c r="C18" s="2"/>
      <c r="D18" s="1"/>
      <c r="E18" s="1"/>
      <c r="F18" s="1"/>
      <c r="G18" s="1"/>
      <c r="H18" s="1"/>
      <c r="I18" s="1"/>
      <c r="J18" s="1"/>
      <c r="K18" s="1"/>
      <c r="L18" s="1"/>
    </row>
    <row r="19" spans="1:12" ht="15" hidden="1" customHeight="1" x14ac:dyDescent="0.25">
      <c r="A19" s="1"/>
      <c r="B19" s="2"/>
      <c r="C19" s="2"/>
      <c r="D19" s="1"/>
      <c r="E19" s="1"/>
      <c r="F19" s="1"/>
      <c r="G19" s="1"/>
      <c r="H19" s="1"/>
      <c r="I19" s="1"/>
      <c r="J19" s="1"/>
      <c r="K19" s="1"/>
      <c r="L19" s="1"/>
    </row>
    <row r="20" spans="1:12" ht="15" hidden="1" customHeight="1" x14ac:dyDescent="0.25">
      <c r="A20" s="1"/>
      <c r="B20" s="2"/>
      <c r="C20" s="2"/>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I42" s="1"/>
      <c r="J42" s="1"/>
      <c r="K42" s="1"/>
      <c r="L42" s="1"/>
    </row>
    <row r="43" spans="1:12" ht="15" hidden="1" customHeight="1" x14ac:dyDescent="0.25">
      <c r="A43" s="1"/>
      <c r="B43" s="2"/>
      <c r="C43" s="2"/>
      <c r="D43" s="1"/>
      <c r="I43" s="1"/>
      <c r="J43" s="1"/>
      <c r="K43" s="1"/>
      <c r="L43" s="1"/>
    </row>
    <row r="44" spans="1:12" ht="15" hidden="1" customHeight="1" x14ac:dyDescent="0.25"/>
    <row r="45" spans="1:12" ht="15" hidden="1" customHeight="1" x14ac:dyDescent="0.25"/>
    <row r="46" spans="1:12" ht="15" hidden="1" customHeight="1" x14ac:dyDescent="0.25"/>
    <row r="47" spans="1:12" ht="15" hidden="1" customHeight="1" x14ac:dyDescent="0.25"/>
    <row r="48" spans="1: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sheetData>
  <sheetProtection algorithmName="SHA-512" hashValue="TSPFaJIPkuQhOYjYObSaqxFSMqTHePDjKhQZhrLoRwYVWSx4FYBHH+F4TXCstzf06EetSWHbCSrJEjNNmcYLBQ==" saltValue="w36XDDzsozgfWoQglpfoVQ==" spinCount="100000" sheet="1" objects="1" scenarios="1"/>
  <mergeCells count="9">
    <mergeCell ref="H4:H5"/>
    <mergeCell ref="E6:F6"/>
    <mergeCell ref="E7:F7"/>
    <mergeCell ref="A13:B13"/>
    <mergeCell ref="G6:G7"/>
    <mergeCell ref="B1:B3"/>
    <mergeCell ref="B4:B9"/>
    <mergeCell ref="E4:F5"/>
    <mergeCell ref="G4:G5"/>
  </mergeCells>
  <hyperlinks>
    <hyperlink ref="E6:F6" location="'Inn-1 Exceptional Performance '!B3" tooltip="Inn-1 Exceptional Performance Enhancement" display="Inn-1 Exceptional Performance Enhancement" xr:uid="{00000000-0004-0000-3700-000000000000}"/>
    <hyperlink ref="E7:F7" location="'Inn-2 Innovative Techniques'!B3" tooltip="Inn-2 Innovative Techniques/Initiatives" display="Inn-2 Innovative Techniques/Initiatives" xr:uid="{00000000-0004-0000-3700-000001000000}"/>
  </hyperlinks>
  <pageMargins left="0.7" right="0.7" top="0.75" bottom="0.75" header="0.3" footer="0.3"/>
  <pageSetup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3">
    <tabColor rgb="FFFFC000"/>
  </sheetPr>
  <dimension ref="A1:L37"/>
  <sheetViews>
    <sheetView showRowColHeaders="0" workbookViewId="0">
      <pane ySplit="8" topLeftCell="A9" activePane="bottomLeft" state="frozen"/>
      <selection pane="bottomLeft" activeCell="J12" sqref="J12"/>
    </sheetView>
  </sheetViews>
  <sheetFormatPr defaultColWidth="0" defaultRowHeight="15" zeroHeight="1" x14ac:dyDescent="0.25"/>
  <cols>
    <col min="1" max="1" width="4.85546875" customWidth="1"/>
    <col min="2" max="3" width="17.7109375" customWidth="1"/>
    <col min="4" max="5" width="21.7109375" customWidth="1"/>
    <col min="6" max="6" width="18.28515625" customWidth="1"/>
    <col min="7" max="8" width="17.85546875" customWidth="1"/>
    <col min="9" max="9" width="17.28515625" customWidth="1"/>
    <col min="10" max="10" width="10.5703125" customWidth="1"/>
    <col min="11" max="11" width="9.140625" customWidth="1"/>
    <col min="12" max="12" width="0" hidden="1" customWidth="1"/>
    <col min="13" max="16384" width="9.140625" hidden="1"/>
  </cols>
  <sheetData>
    <row r="1" spans="1:12" ht="23.25" x14ac:dyDescent="0.25">
      <c r="A1" s="2362" t="s">
        <v>266</v>
      </c>
      <c r="B1" s="2362"/>
      <c r="C1" s="2362"/>
      <c r="D1" s="2362"/>
      <c r="E1" s="2362"/>
      <c r="F1" s="2362"/>
      <c r="G1" s="2362"/>
      <c r="H1" s="2362"/>
      <c r="I1" s="2362"/>
      <c r="J1" s="2362"/>
      <c r="K1" s="2362"/>
      <c r="L1" s="38"/>
    </row>
    <row r="2" spans="1:12" x14ac:dyDescent="0.25">
      <c r="A2" s="49"/>
      <c r="B2" s="50"/>
      <c r="C2" s="50"/>
      <c r="D2" s="50"/>
      <c r="E2" s="50"/>
      <c r="F2" s="49"/>
      <c r="G2" s="49"/>
      <c r="H2" s="49"/>
      <c r="I2" s="1585" t="s">
        <v>720</v>
      </c>
      <c r="J2" s="1585"/>
      <c r="K2" s="2363" t="s">
        <v>103</v>
      </c>
      <c r="L2" s="38"/>
    </row>
    <row r="3" spans="1:12" x14ac:dyDescent="0.25">
      <c r="A3" s="49"/>
      <c r="B3" s="50"/>
      <c r="C3" s="50"/>
      <c r="D3" s="50"/>
      <c r="E3" s="50"/>
      <c r="F3" s="49"/>
      <c r="G3" s="49"/>
      <c r="H3" s="49"/>
      <c r="I3" s="1585"/>
      <c r="J3" s="1585"/>
      <c r="K3" s="2363"/>
      <c r="L3" s="38"/>
    </row>
    <row r="4" spans="1:12" x14ac:dyDescent="0.25">
      <c r="A4" s="49"/>
      <c r="B4" s="50"/>
      <c r="C4" s="50"/>
      <c r="D4" s="50"/>
      <c r="E4" s="50"/>
      <c r="F4" s="49"/>
      <c r="G4" s="49"/>
      <c r="H4" s="49"/>
      <c r="I4" s="1586"/>
      <c r="J4" s="1586"/>
      <c r="K4" s="2364"/>
      <c r="L4" s="38"/>
    </row>
    <row r="5" spans="1:12" ht="18" customHeight="1" x14ac:dyDescent="0.25">
      <c r="A5" s="1600" t="s">
        <v>2541</v>
      </c>
      <c r="B5" s="1601"/>
      <c r="C5" s="1601"/>
      <c r="D5" s="1601"/>
      <c r="E5" s="1601"/>
      <c r="F5" s="1601"/>
      <c r="G5" s="1601"/>
      <c r="H5" s="1601"/>
      <c r="I5" s="1601"/>
      <c r="J5" s="1601"/>
      <c r="K5" s="1601"/>
      <c r="L5" s="172"/>
    </row>
    <row r="6" spans="1:12" ht="18" customHeight="1" x14ac:dyDescent="0.25">
      <c r="A6" s="1603"/>
      <c r="B6" s="1604"/>
      <c r="C6" s="1604"/>
      <c r="D6" s="1604"/>
      <c r="E6" s="1604"/>
      <c r="F6" s="1604"/>
      <c r="G6" s="1604"/>
      <c r="H6" s="1604"/>
      <c r="I6" s="1604"/>
      <c r="J6" s="1604"/>
      <c r="K6" s="1604"/>
      <c r="L6" s="174"/>
    </row>
    <row r="7" spans="1:12" ht="18" customHeight="1" x14ac:dyDescent="0.25">
      <c r="A7" s="1606"/>
      <c r="B7" s="1607"/>
      <c r="C7" s="1607"/>
      <c r="D7" s="1607"/>
      <c r="E7" s="1607"/>
      <c r="F7" s="1607"/>
      <c r="G7" s="1607"/>
      <c r="H7" s="1607"/>
      <c r="I7" s="1607"/>
      <c r="J7" s="1607"/>
      <c r="K7" s="1607"/>
      <c r="L7" s="176"/>
    </row>
    <row r="8" spans="1:12" ht="12" customHeight="1" x14ac:dyDescent="0.25">
      <c r="A8" s="49"/>
      <c r="B8" s="50"/>
      <c r="C8" s="50"/>
      <c r="D8" s="50"/>
      <c r="E8" s="50"/>
      <c r="F8" s="49"/>
      <c r="G8" s="49"/>
      <c r="H8" s="49"/>
      <c r="I8" s="49"/>
      <c r="J8" s="49"/>
      <c r="K8" s="49"/>
      <c r="L8" s="49"/>
    </row>
    <row r="9" spans="1:12" ht="18" customHeight="1" x14ac:dyDescent="0.25">
      <c r="A9" s="2365" t="s">
        <v>177</v>
      </c>
      <c r="B9" s="2365"/>
      <c r="C9" s="2365"/>
      <c r="D9" s="2365"/>
      <c r="E9" s="2365"/>
      <c r="F9" s="2365"/>
      <c r="G9" s="2365"/>
      <c r="H9" s="2365"/>
      <c r="I9" s="2365"/>
      <c r="J9" s="2365"/>
      <c r="K9" s="2365"/>
      <c r="L9" s="38"/>
    </row>
    <row r="10" spans="1:12" x14ac:dyDescent="0.25">
      <c r="A10" s="49"/>
      <c r="B10" s="50"/>
      <c r="C10" s="50"/>
      <c r="D10" s="50"/>
      <c r="E10" s="50"/>
      <c r="F10" s="49"/>
      <c r="G10" s="49"/>
      <c r="H10" s="49"/>
      <c r="I10" s="49"/>
      <c r="J10" s="49"/>
      <c r="K10" s="49"/>
      <c r="L10" s="38"/>
    </row>
    <row r="11" spans="1:12" ht="21" customHeight="1" x14ac:dyDescent="0.25">
      <c r="A11" s="49"/>
      <c r="B11" s="2366" t="s">
        <v>178</v>
      </c>
      <c r="C11" s="2367"/>
      <c r="D11" s="2367"/>
      <c r="E11" s="2367"/>
      <c r="F11" s="745" t="s">
        <v>152</v>
      </c>
      <c r="G11" s="745" t="s">
        <v>53</v>
      </c>
      <c r="H11" s="384" t="s">
        <v>492</v>
      </c>
      <c r="I11" s="49"/>
      <c r="J11" s="49"/>
      <c r="K11" s="49"/>
      <c r="L11" s="38"/>
    </row>
    <row r="12" spans="1:12" ht="24" customHeight="1" x14ac:dyDescent="0.25">
      <c r="A12" s="49"/>
      <c r="B12" s="1791" t="s">
        <v>2329</v>
      </c>
      <c r="C12" s="1792"/>
      <c r="D12" s="1792"/>
      <c r="E12" s="1793"/>
      <c r="F12" s="1313">
        <v>4</v>
      </c>
      <c r="G12" s="1313">
        <f>C35</f>
        <v>0</v>
      </c>
      <c r="H12" s="1313" t="str">
        <f>C36</f>
        <v>No</v>
      </c>
      <c r="I12" s="49"/>
      <c r="J12" s="49"/>
      <c r="K12" s="49"/>
      <c r="L12" s="38"/>
    </row>
    <row r="13" spans="1:12" x14ac:dyDescent="0.25">
      <c r="A13" s="49"/>
      <c r="B13" s="50"/>
      <c r="C13" s="50"/>
      <c r="D13" s="50"/>
      <c r="E13" s="50"/>
      <c r="F13" s="49"/>
      <c r="G13" s="49"/>
      <c r="H13" s="49"/>
      <c r="I13" s="49"/>
      <c r="J13" s="49"/>
      <c r="K13" s="49"/>
      <c r="L13" s="38"/>
    </row>
    <row r="14" spans="1:12" ht="18" customHeight="1" x14ac:dyDescent="0.25">
      <c r="A14" s="2365" t="s">
        <v>245</v>
      </c>
      <c r="B14" s="2365"/>
      <c r="C14" s="2365"/>
      <c r="D14" s="2365"/>
      <c r="E14" s="2365"/>
      <c r="F14" s="2365"/>
      <c r="G14" s="2365"/>
      <c r="H14" s="2365"/>
      <c r="I14" s="2365"/>
      <c r="J14" s="2365"/>
      <c r="K14" s="2365"/>
      <c r="L14" s="38"/>
    </row>
    <row r="15" spans="1:12" x14ac:dyDescent="0.25">
      <c r="A15" s="49"/>
      <c r="B15" s="50"/>
      <c r="C15" s="50"/>
      <c r="D15" s="50"/>
      <c r="E15" s="50"/>
      <c r="F15" s="49"/>
      <c r="G15" s="49"/>
      <c r="H15" s="49"/>
      <c r="I15" s="49"/>
      <c r="J15" s="49"/>
      <c r="K15" s="49"/>
      <c r="L15" s="38"/>
    </row>
    <row r="16" spans="1:12" x14ac:dyDescent="0.25">
      <c r="A16" s="49"/>
      <c r="B16" s="1315" t="s">
        <v>2329</v>
      </c>
      <c r="C16" s="185"/>
      <c r="D16" s="185"/>
      <c r="E16" s="185"/>
      <c r="F16" s="185"/>
      <c r="G16" s="185"/>
      <c r="H16" s="185"/>
      <c r="I16" s="185"/>
      <c r="J16" s="185"/>
      <c r="K16" s="49"/>
      <c r="L16" s="38"/>
    </row>
    <row r="17" spans="1:12" x14ac:dyDescent="0.25">
      <c r="A17" s="49"/>
      <c r="B17" s="185"/>
      <c r="C17" s="185"/>
      <c r="D17" s="185"/>
      <c r="E17" s="185"/>
      <c r="F17" s="185"/>
      <c r="G17" s="185"/>
      <c r="H17" s="185"/>
      <c r="I17" s="185"/>
      <c r="J17" s="185"/>
      <c r="K17" s="49"/>
      <c r="L17" s="38"/>
    </row>
    <row r="18" spans="1:12" x14ac:dyDescent="0.25">
      <c r="A18" s="49"/>
      <c r="B18" s="386" t="s">
        <v>723</v>
      </c>
      <c r="C18" s="185"/>
      <c r="D18" s="185"/>
      <c r="E18" s="185"/>
      <c r="F18" s="185"/>
      <c r="G18" s="185"/>
      <c r="H18" s="185"/>
      <c r="I18" s="185"/>
      <c r="J18" s="185"/>
      <c r="K18" s="49"/>
      <c r="L18" s="38"/>
    </row>
    <row r="19" spans="1:12" x14ac:dyDescent="0.25">
      <c r="A19" s="49"/>
      <c r="B19" s="477" t="s">
        <v>724</v>
      </c>
      <c r="C19" s="185"/>
      <c r="D19" s="185"/>
      <c r="E19" s="185"/>
      <c r="F19" s="185"/>
      <c r="G19" s="185"/>
      <c r="H19" s="185"/>
      <c r="I19" s="185"/>
      <c r="J19" s="185"/>
      <c r="K19" s="49"/>
      <c r="L19" s="38"/>
    </row>
    <row r="20" spans="1:12" x14ac:dyDescent="0.25">
      <c r="A20" s="49"/>
      <c r="B20" s="477" t="s">
        <v>725</v>
      </c>
      <c r="C20" s="185"/>
      <c r="D20" s="185"/>
      <c r="E20" s="185"/>
      <c r="F20" s="185"/>
      <c r="G20" s="185"/>
      <c r="H20" s="185"/>
      <c r="I20" s="185"/>
      <c r="J20" s="185"/>
      <c r="K20" s="49"/>
      <c r="L20" s="38"/>
    </row>
    <row r="21" spans="1:12" x14ac:dyDescent="0.25">
      <c r="A21" s="49"/>
      <c r="B21" s="477" t="s">
        <v>2539</v>
      </c>
      <c r="C21" s="185"/>
      <c r="D21" s="185"/>
      <c r="E21" s="185"/>
      <c r="F21" s="185"/>
      <c r="G21" s="185"/>
      <c r="H21" s="185"/>
      <c r="I21" s="185"/>
      <c r="J21" s="185"/>
      <c r="K21" s="49"/>
      <c r="L21" s="38"/>
    </row>
    <row r="22" spans="1:12" x14ac:dyDescent="0.25">
      <c r="A22" s="49"/>
      <c r="B22" s="185"/>
      <c r="C22" s="185"/>
      <c r="D22" s="185"/>
      <c r="E22" s="185"/>
      <c r="F22" s="185"/>
      <c r="G22" s="185"/>
      <c r="H22" s="185"/>
      <c r="I22" s="185"/>
      <c r="J22" s="185"/>
      <c r="K22" s="49"/>
      <c r="L22" s="38"/>
    </row>
    <row r="23" spans="1:12" ht="21" customHeight="1" x14ac:dyDescent="0.25">
      <c r="A23" s="49"/>
      <c r="B23" s="2368" t="s">
        <v>2330</v>
      </c>
      <c r="C23" s="2368"/>
      <c r="D23" s="2368" t="s">
        <v>722</v>
      </c>
      <c r="E23" s="2368"/>
      <c r="F23" s="2368" t="s">
        <v>2540</v>
      </c>
      <c r="G23" s="2368"/>
      <c r="H23" s="2368"/>
      <c r="I23" s="2368"/>
      <c r="J23" s="49"/>
      <c r="K23" s="49"/>
      <c r="L23" s="38"/>
    </row>
    <row r="24" spans="1:12" ht="18" customHeight="1" x14ac:dyDescent="0.25">
      <c r="A24" s="49"/>
      <c r="B24" s="2361"/>
      <c r="C24" s="2361"/>
      <c r="D24" s="2361" t="s">
        <v>124</v>
      </c>
      <c r="E24" s="2361"/>
      <c r="F24" s="2361"/>
      <c r="G24" s="2361"/>
      <c r="H24" s="2361"/>
      <c r="I24" s="2361"/>
      <c r="J24" s="49"/>
      <c r="K24" s="49"/>
      <c r="L24" s="38">
        <f>IF(AND(B24&lt;&gt;"",D24&lt;&gt;"",D24&lt;&gt;"Select",F24&lt;&gt;""),1,0)</f>
        <v>0</v>
      </c>
    </row>
    <row r="25" spans="1:12" ht="18" customHeight="1" x14ac:dyDescent="0.25">
      <c r="A25" s="49"/>
      <c r="B25" s="2361"/>
      <c r="C25" s="2361"/>
      <c r="D25" s="2361" t="s">
        <v>124</v>
      </c>
      <c r="E25" s="2361"/>
      <c r="F25" s="2361"/>
      <c r="G25" s="2361"/>
      <c r="H25" s="2361"/>
      <c r="I25" s="2361"/>
      <c r="J25" s="49"/>
      <c r="K25" s="49"/>
      <c r="L25" s="38">
        <f t="shared" ref="L25:L27" si="0">IF(AND(B25&lt;&gt;"",D25&lt;&gt;"",D25&lt;&gt;"Select",F25&lt;&gt;""),1,0)</f>
        <v>0</v>
      </c>
    </row>
    <row r="26" spans="1:12" ht="18" customHeight="1" x14ac:dyDescent="0.25">
      <c r="A26" s="49"/>
      <c r="B26" s="2361"/>
      <c r="C26" s="2361"/>
      <c r="D26" s="2361" t="s">
        <v>124</v>
      </c>
      <c r="E26" s="2361"/>
      <c r="F26" s="2361"/>
      <c r="G26" s="2361"/>
      <c r="H26" s="2361"/>
      <c r="I26" s="2361"/>
      <c r="J26" s="49"/>
      <c r="K26" s="49"/>
      <c r="L26" s="38">
        <f t="shared" si="0"/>
        <v>0</v>
      </c>
    </row>
    <row r="27" spans="1:12" ht="18" customHeight="1" x14ac:dyDescent="0.25">
      <c r="A27" s="49"/>
      <c r="B27" s="2361"/>
      <c r="C27" s="2361"/>
      <c r="D27" s="2361" t="s">
        <v>124</v>
      </c>
      <c r="E27" s="2361"/>
      <c r="F27" s="2361"/>
      <c r="G27" s="2361"/>
      <c r="H27" s="2361"/>
      <c r="I27" s="2361"/>
      <c r="J27" s="49"/>
      <c r="K27" s="49"/>
      <c r="L27" s="38">
        <f t="shared" si="0"/>
        <v>0</v>
      </c>
    </row>
    <row r="28" spans="1:12" ht="21.75" customHeight="1" x14ac:dyDescent="0.25">
      <c r="A28" s="49"/>
      <c r="B28" s="50"/>
      <c r="C28" s="50"/>
      <c r="D28" s="50"/>
      <c r="E28" s="50"/>
      <c r="F28" s="49"/>
      <c r="G28" s="49"/>
      <c r="H28" s="49"/>
      <c r="I28" s="49"/>
      <c r="J28" s="49"/>
      <c r="K28" s="49"/>
      <c r="L28" s="38"/>
    </row>
    <row r="29" spans="1:12" ht="18" customHeight="1" x14ac:dyDescent="0.25">
      <c r="A29" s="2365" t="s">
        <v>186</v>
      </c>
      <c r="B29" s="2365"/>
      <c r="C29" s="2365"/>
      <c r="D29" s="2365"/>
      <c r="E29" s="2365"/>
      <c r="F29" s="2365"/>
      <c r="G29" s="2365"/>
      <c r="H29" s="2365"/>
      <c r="I29" s="2365"/>
      <c r="J29" s="2365"/>
      <c r="K29" s="2365"/>
      <c r="L29" s="38"/>
    </row>
    <row r="30" spans="1:12" x14ac:dyDescent="0.25">
      <c r="A30" s="49"/>
      <c r="B30" s="50"/>
      <c r="C30" s="50"/>
      <c r="D30" s="50"/>
      <c r="E30" s="49"/>
      <c r="F30" s="49"/>
      <c r="G30" s="49"/>
      <c r="H30" s="49"/>
      <c r="I30" s="49"/>
      <c r="J30" s="49"/>
      <c r="K30" s="49"/>
      <c r="L30" s="38"/>
    </row>
    <row r="31" spans="1:12" x14ac:dyDescent="0.25">
      <c r="A31" s="49"/>
      <c r="B31" s="2245" t="s">
        <v>726</v>
      </c>
      <c r="C31" s="2245"/>
      <c r="D31" s="2245"/>
      <c r="E31" s="2245"/>
      <c r="F31" s="2245"/>
      <c r="G31" s="2245"/>
      <c r="H31" s="49"/>
      <c r="I31" s="49"/>
      <c r="J31" s="49"/>
      <c r="K31" s="49"/>
      <c r="L31" s="38"/>
    </row>
    <row r="32" spans="1:12" x14ac:dyDescent="0.25">
      <c r="A32" s="49"/>
      <c r="B32" s="50"/>
      <c r="C32" s="50"/>
      <c r="D32" s="50"/>
      <c r="E32" s="49"/>
      <c r="F32" s="49"/>
      <c r="G32" s="49"/>
      <c r="H32" s="49"/>
      <c r="I32" s="49"/>
      <c r="J32" s="49"/>
      <c r="K32" s="49"/>
      <c r="L32" s="38"/>
    </row>
    <row r="33" spans="1:12" ht="18" customHeight="1" x14ac:dyDescent="0.25">
      <c r="A33" s="2365" t="s">
        <v>22</v>
      </c>
      <c r="B33" s="2365"/>
      <c r="C33" s="2365"/>
      <c r="D33" s="2365"/>
      <c r="E33" s="2365"/>
      <c r="F33" s="2365"/>
      <c r="G33" s="2365"/>
      <c r="H33" s="2365"/>
      <c r="I33" s="2365"/>
      <c r="J33" s="2365"/>
      <c r="K33" s="2365"/>
      <c r="L33" s="38"/>
    </row>
    <row r="34" spans="1:12" x14ac:dyDescent="0.25">
      <c r="A34" s="49"/>
      <c r="B34" s="50"/>
      <c r="C34" s="50"/>
      <c r="D34" s="50"/>
      <c r="E34" s="50"/>
      <c r="F34" s="49"/>
      <c r="G34" s="49"/>
      <c r="H34" s="49"/>
      <c r="I34" s="49"/>
      <c r="J34" s="49"/>
      <c r="K34" s="49"/>
      <c r="L34" s="38"/>
    </row>
    <row r="35" spans="1:12" ht="18" customHeight="1" x14ac:dyDescent="0.25">
      <c r="A35" s="49"/>
      <c r="B35" s="385" t="s">
        <v>53</v>
      </c>
      <c r="C35" s="1314">
        <f>SUM(L24:L27)</f>
        <v>0</v>
      </c>
      <c r="D35" s="50"/>
      <c r="E35" s="49"/>
      <c r="F35" s="49"/>
      <c r="G35" s="49"/>
      <c r="H35" s="49"/>
      <c r="I35" s="49"/>
      <c r="J35" s="49"/>
      <c r="K35" s="49"/>
      <c r="L35" s="38"/>
    </row>
    <row r="36" spans="1:12" ht="18" customHeight="1" x14ac:dyDescent="0.25">
      <c r="A36" s="49"/>
      <c r="B36" s="385" t="s">
        <v>492</v>
      </c>
      <c r="C36" s="181" t="str">
        <f>IF(C35&gt;0,"Yes","No")</f>
        <v>No</v>
      </c>
      <c r="D36" s="50"/>
      <c r="E36" s="50"/>
      <c r="F36" s="49"/>
      <c r="G36" s="49"/>
      <c r="H36" s="49"/>
      <c r="I36" s="49"/>
      <c r="J36" s="49"/>
      <c r="K36" s="49"/>
      <c r="L36" s="38"/>
    </row>
    <row r="37" spans="1:12" ht="20.25" customHeight="1" x14ac:dyDescent="0.25">
      <c r="A37" s="49"/>
      <c r="B37" s="50"/>
      <c r="C37" s="50"/>
      <c r="D37" s="50"/>
      <c r="E37" s="50"/>
      <c r="F37" s="49"/>
      <c r="G37" s="49"/>
      <c r="H37" s="49"/>
      <c r="I37" s="49"/>
      <c r="J37" s="49"/>
      <c r="K37" s="49"/>
      <c r="L37" s="38"/>
    </row>
  </sheetData>
  <sheetProtection algorithmName="SHA-512" hashValue="YNrD2NlPaDiCr+u7En1dHzPlkrj0HOoXbe3ykK0AAadertw7N/pk3xJt8xuObZv8v9qCE0+ks4WjVMFxdAwXqg==" saltValue="AooPdYzr1+8O1ze4jxSPVw==" spinCount="100000" sheet="1" objects="1" scenarios="1"/>
  <mergeCells count="26">
    <mergeCell ref="A33:K33"/>
    <mergeCell ref="B25:C25"/>
    <mergeCell ref="D25:E25"/>
    <mergeCell ref="F25:I25"/>
    <mergeCell ref="B26:C26"/>
    <mergeCell ref="D26:E26"/>
    <mergeCell ref="F26:I26"/>
    <mergeCell ref="B27:C27"/>
    <mergeCell ref="D27:E27"/>
    <mergeCell ref="F27:I27"/>
    <mergeCell ref="A29:K29"/>
    <mergeCell ref="B31:G31"/>
    <mergeCell ref="B24:C24"/>
    <mergeCell ref="D24:E24"/>
    <mergeCell ref="F24:I24"/>
    <mergeCell ref="A1:K1"/>
    <mergeCell ref="I2:J4"/>
    <mergeCell ref="K2:K4"/>
    <mergeCell ref="A5:K7"/>
    <mergeCell ref="A9:K9"/>
    <mergeCell ref="B11:E11"/>
    <mergeCell ref="B12:E12"/>
    <mergeCell ref="A14:K14"/>
    <mergeCell ref="B23:C23"/>
    <mergeCell ref="D23:E23"/>
    <mergeCell ref="F23:I23"/>
  </mergeCells>
  <dataValidations count="1">
    <dataValidation type="list" allowBlank="1" showInputMessage="1" showErrorMessage="1" sqref="D24:E27" xr:uid="{00000000-0002-0000-3800-000000000000}">
      <formula1>"Select,Exceeds requirements by an additional increment,Significantly exceeds the credit requirement,reaches a higher number of points than what is available in the credit"</formula1>
    </dataValidation>
  </dataValidations>
  <hyperlinks>
    <hyperlink ref="K2" location="'Inn-2 Innovative Techniques'!A1" tooltip="Inn-2" display="Inn-2" xr:uid="{00000000-0004-0000-3800-000000000000}"/>
    <hyperlink ref="K2:K4" location="'Inn-2 Innovative Techniques'!B3" tooltip="Inn-2" display="Inn-2" xr:uid="{00000000-0004-0000-3800-000001000000}"/>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4">
    <tabColor rgb="FFFFC000"/>
  </sheetPr>
  <dimension ref="A1:M64"/>
  <sheetViews>
    <sheetView showRowColHeaders="0" zoomScaleNormal="100" workbookViewId="0">
      <pane ySplit="8" topLeftCell="A9" activePane="bottomLeft" state="frozen"/>
      <selection activeCell="E21" sqref="E21"/>
      <selection pane="bottomLeft" activeCell="G4" sqref="G4"/>
    </sheetView>
  </sheetViews>
  <sheetFormatPr defaultColWidth="0" defaultRowHeight="15" customHeight="1" zeroHeight="1" x14ac:dyDescent="0.25"/>
  <cols>
    <col min="1" max="1" width="4.7109375" style="38" customWidth="1"/>
    <col min="2" max="2" width="18.42578125" style="38" customWidth="1"/>
    <col min="3" max="3" width="17" style="38" customWidth="1"/>
    <col min="4" max="5" width="18.42578125" style="38" customWidth="1"/>
    <col min="6" max="8" width="17.85546875" style="38" customWidth="1"/>
    <col min="9" max="9" width="16.7109375" style="38" customWidth="1"/>
    <col min="10" max="10" width="10.7109375" style="38" customWidth="1"/>
    <col min="11" max="11" width="8.7109375" style="38" customWidth="1"/>
    <col min="12" max="13" width="0" style="38" hidden="1" customWidth="1"/>
    <col min="14" max="16384" width="9.140625" style="38" hidden="1"/>
  </cols>
  <sheetData>
    <row r="1" spans="1:11" ht="25.5" customHeight="1" x14ac:dyDescent="0.25">
      <c r="A1" s="2362" t="s">
        <v>267</v>
      </c>
      <c r="B1" s="2362"/>
      <c r="C1" s="2362"/>
      <c r="D1" s="2362"/>
      <c r="E1" s="2362"/>
      <c r="F1" s="2362"/>
      <c r="G1" s="2362"/>
      <c r="H1" s="2362"/>
      <c r="I1" s="2362"/>
      <c r="J1" s="2362"/>
      <c r="K1" s="2362"/>
    </row>
    <row r="2" spans="1:11" ht="15" customHeight="1" x14ac:dyDescent="0.25">
      <c r="A2" s="49"/>
      <c r="B2" s="50"/>
      <c r="C2" s="50"/>
      <c r="D2" s="50"/>
      <c r="E2" s="50"/>
      <c r="F2" s="49"/>
      <c r="G2" s="49"/>
      <c r="H2" s="49"/>
      <c r="I2" s="1585" t="s">
        <v>720</v>
      </c>
      <c r="J2" s="1585"/>
      <c r="K2" s="2363" t="s">
        <v>102</v>
      </c>
    </row>
    <row r="3" spans="1:11" ht="15" customHeight="1" x14ac:dyDescent="0.25">
      <c r="A3" s="49"/>
      <c r="B3" s="50"/>
      <c r="C3" s="50"/>
      <c r="D3" s="50"/>
      <c r="E3" s="50"/>
      <c r="F3" s="49"/>
      <c r="G3" s="49"/>
      <c r="H3" s="49"/>
      <c r="I3" s="1585"/>
      <c r="J3" s="1585"/>
      <c r="K3" s="2363"/>
    </row>
    <row r="4" spans="1:11" ht="15" customHeight="1" x14ac:dyDescent="0.25">
      <c r="A4" s="49"/>
      <c r="B4" s="50"/>
      <c r="C4" s="50"/>
      <c r="D4" s="50"/>
      <c r="E4" s="50"/>
      <c r="F4" s="49"/>
      <c r="G4" s="49"/>
      <c r="H4" s="49"/>
      <c r="I4" s="1586"/>
      <c r="J4" s="1586"/>
      <c r="K4" s="2364"/>
    </row>
    <row r="5" spans="1:11" ht="18" customHeight="1" x14ac:dyDescent="0.25">
      <c r="A5" s="1600" t="s">
        <v>2538</v>
      </c>
      <c r="B5" s="1601"/>
      <c r="C5" s="1601"/>
      <c r="D5" s="1601"/>
      <c r="E5" s="1601"/>
      <c r="F5" s="1601"/>
      <c r="G5" s="1601"/>
      <c r="H5" s="1601"/>
      <c r="I5" s="1601"/>
      <c r="J5" s="1601"/>
      <c r="K5" s="1601"/>
    </row>
    <row r="6" spans="1:11" ht="18" customHeight="1" x14ac:dyDescent="0.25">
      <c r="A6" s="1603"/>
      <c r="B6" s="1604"/>
      <c r="C6" s="1604"/>
      <c r="D6" s="1604"/>
      <c r="E6" s="1604"/>
      <c r="F6" s="1604"/>
      <c r="G6" s="1604"/>
      <c r="H6" s="1604"/>
      <c r="I6" s="1604"/>
      <c r="J6" s="1604"/>
      <c r="K6" s="1604"/>
    </row>
    <row r="7" spans="1:11" ht="17.25" customHeight="1" x14ac:dyDescent="0.25">
      <c r="A7" s="1606"/>
      <c r="B7" s="1607"/>
      <c r="C7" s="1607"/>
      <c r="D7" s="1607"/>
      <c r="E7" s="1607"/>
      <c r="F7" s="1607"/>
      <c r="G7" s="1607"/>
      <c r="H7" s="1607"/>
      <c r="I7" s="1607"/>
      <c r="J7" s="1607"/>
      <c r="K7" s="1607"/>
    </row>
    <row r="8" spans="1:11" ht="12" customHeight="1" x14ac:dyDescent="0.25">
      <c r="A8" s="49"/>
      <c r="B8" s="50"/>
      <c r="C8" s="50"/>
      <c r="D8" s="50"/>
      <c r="E8" s="50"/>
      <c r="F8" s="49"/>
      <c r="G8" s="49"/>
      <c r="H8" s="49"/>
      <c r="I8" s="49"/>
      <c r="J8" s="49"/>
      <c r="K8" s="49"/>
    </row>
    <row r="9" spans="1:11" ht="18" customHeight="1" x14ac:dyDescent="0.25">
      <c r="A9" s="2365" t="s">
        <v>177</v>
      </c>
      <c r="B9" s="2365"/>
      <c r="C9" s="2365"/>
      <c r="D9" s="2365"/>
      <c r="E9" s="2365"/>
      <c r="F9" s="2365"/>
      <c r="G9" s="2365"/>
      <c r="H9" s="2365"/>
      <c r="I9" s="2365"/>
      <c r="J9" s="2365"/>
      <c r="K9" s="2365"/>
    </row>
    <row r="10" spans="1:11" ht="16.5" customHeight="1" x14ac:dyDescent="0.25">
      <c r="A10" s="49"/>
      <c r="B10" s="50"/>
      <c r="C10" s="50"/>
      <c r="D10" s="50"/>
      <c r="E10" s="50"/>
      <c r="F10" s="49"/>
      <c r="G10" s="49"/>
      <c r="H10" s="49"/>
      <c r="I10" s="49"/>
      <c r="J10" s="49"/>
      <c r="K10" s="49"/>
    </row>
    <row r="11" spans="1:11" ht="19.5" customHeight="1" x14ac:dyDescent="0.25">
      <c r="A11" s="49"/>
      <c r="B11" s="2366" t="s">
        <v>178</v>
      </c>
      <c r="C11" s="2367"/>
      <c r="D11" s="2367"/>
      <c r="E11" s="2367"/>
      <c r="F11" s="745" t="s">
        <v>152</v>
      </c>
      <c r="G11" s="745" t="s">
        <v>53</v>
      </c>
      <c r="H11" s="384" t="s">
        <v>492</v>
      </c>
      <c r="I11" s="49"/>
      <c r="J11" s="49"/>
      <c r="K11" s="49"/>
    </row>
    <row r="12" spans="1:11" ht="27" customHeight="1" x14ac:dyDescent="0.25">
      <c r="A12" s="49"/>
      <c r="B12" s="1791" t="s">
        <v>2524</v>
      </c>
      <c r="C12" s="1792"/>
      <c r="D12" s="1792"/>
      <c r="E12" s="1793"/>
      <c r="F12" s="299">
        <v>4</v>
      </c>
      <c r="G12" s="299">
        <f>C48</f>
        <v>0</v>
      </c>
      <c r="H12" s="299">
        <f>C49</f>
        <v>0</v>
      </c>
      <c r="I12" s="49"/>
      <c r="J12" s="49"/>
      <c r="K12" s="49"/>
    </row>
    <row r="13" spans="1:11" ht="16.5" customHeight="1" x14ac:dyDescent="0.25">
      <c r="A13" s="49"/>
      <c r="B13" s="50"/>
      <c r="C13" s="50"/>
      <c r="D13" s="50"/>
      <c r="E13" s="50"/>
      <c r="F13" s="49"/>
      <c r="G13" s="49"/>
      <c r="H13" s="49"/>
      <c r="I13" s="49"/>
      <c r="J13" s="49"/>
      <c r="K13" s="49"/>
    </row>
    <row r="14" spans="1:11" ht="18" customHeight="1" x14ac:dyDescent="0.25">
      <c r="A14" s="2365" t="s">
        <v>245</v>
      </c>
      <c r="B14" s="2365"/>
      <c r="C14" s="2365"/>
      <c r="D14" s="2365"/>
      <c r="E14" s="2365"/>
      <c r="F14" s="2365"/>
      <c r="G14" s="2365"/>
      <c r="H14" s="2365"/>
      <c r="I14" s="2365"/>
      <c r="J14" s="2365"/>
      <c r="K14" s="2365"/>
    </row>
    <row r="15" spans="1:11" x14ac:dyDescent="0.25">
      <c r="A15" s="49"/>
      <c r="B15" s="50"/>
      <c r="C15" s="50"/>
      <c r="D15" s="50"/>
      <c r="E15" s="50"/>
      <c r="F15" s="49"/>
      <c r="G15" s="49"/>
      <c r="H15" s="49"/>
      <c r="I15" s="49"/>
      <c r="J15" s="49"/>
      <c r="K15" s="49"/>
    </row>
    <row r="16" spans="1:11" x14ac:dyDescent="0.25">
      <c r="A16" s="49"/>
      <c r="B16" s="792" t="s">
        <v>2331</v>
      </c>
      <c r="C16" s="50"/>
      <c r="D16" s="50"/>
      <c r="E16" s="50"/>
      <c r="F16" s="49"/>
      <c r="G16" s="49"/>
      <c r="H16" s="49"/>
      <c r="I16" s="49"/>
      <c r="J16" s="49"/>
      <c r="K16" s="49"/>
    </row>
    <row r="17" spans="1:12" ht="12.75" customHeight="1" x14ac:dyDescent="0.25">
      <c r="A17" s="49"/>
      <c r="B17" s="566"/>
      <c r="C17" s="50"/>
      <c r="D17" s="50"/>
      <c r="E17" s="50"/>
      <c r="F17" s="49"/>
      <c r="G17" s="49"/>
      <c r="H17" s="49"/>
      <c r="I17" s="49"/>
      <c r="J17" s="49"/>
      <c r="K17" s="49"/>
    </row>
    <row r="18" spans="1:12" x14ac:dyDescent="0.25">
      <c r="A18" s="49"/>
      <c r="B18" s="703" t="s">
        <v>721</v>
      </c>
      <c r="C18" s="681"/>
      <c r="D18" s="681"/>
      <c r="E18" s="681"/>
      <c r="F18" s="681"/>
      <c r="G18" s="681"/>
      <c r="H18" s="681"/>
      <c r="I18" s="681"/>
      <c r="J18" s="682"/>
      <c r="K18" s="49"/>
    </row>
    <row r="19" spans="1:12" x14ac:dyDescent="0.25">
      <c r="A19" s="49"/>
      <c r="B19" s="795" t="s">
        <v>727</v>
      </c>
      <c r="C19" s="680"/>
      <c r="D19" s="680"/>
      <c r="E19" s="680"/>
      <c r="F19" s="680"/>
      <c r="G19" s="680"/>
      <c r="H19" s="680"/>
      <c r="I19" s="680"/>
      <c r="J19" s="683"/>
      <c r="K19" s="49"/>
    </row>
    <row r="20" spans="1:12" x14ac:dyDescent="0.25">
      <c r="A20" s="49"/>
      <c r="B20" s="672" t="s">
        <v>2332</v>
      </c>
      <c r="C20" s="684"/>
      <c r="D20" s="684"/>
      <c r="E20" s="684"/>
      <c r="F20" s="684"/>
      <c r="G20" s="684"/>
      <c r="H20" s="684"/>
      <c r="I20" s="684"/>
      <c r="J20" s="685"/>
      <c r="K20" s="49"/>
    </row>
    <row r="21" spans="1:12" ht="14.25" customHeight="1" x14ac:dyDescent="0.25">
      <c r="A21" s="49"/>
      <c r="B21" s="185"/>
      <c r="C21" s="185"/>
      <c r="D21" s="185"/>
      <c r="E21" s="185"/>
      <c r="F21" s="185"/>
      <c r="G21" s="185"/>
      <c r="H21" s="185"/>
      <c r="I21" s="185"/>
      <c r="J21" s="185"/>
      <c r="K21" s="49"/>
    </row>
    <row r="22" spans="1:12" ht="14.25" customHeight="1" x14ac:dyDescent="0.25">
      <c r="A22" s="49"/>
      <c r="B22" s="185" t="s">
        <v>2525</v>
      </c>
      <c r="C22" s="185"/>
      <c r="D22" s="185"/>
      <c r="E22" s="185"/>
      <c r="F22" s="185"/>
      <c r="G22" s="185"/>
      <c r="H22" s="185"/>
      <c r="I22" s="185"/>
      <c r="J22" s="185"/>
      <c r="K22" s="49"/>
    </row>
    <row r="23" spans="1:12" ht="19.5" customHeight="1" x14ac:dyDescent="0.25">
      <c r="A23" s="49"/>
      <c r="B23" s="2373" t="s">
        <v>2526</v>
      </c>
      <c r="C23" s="2373"/>
      <c r="D23" s="2374"/>
      <c r="E23" s="2374"/>
      <c r="F23" s="2374"/>
      <c r="G23" s="2374"/>
      <c r="H23" s="2374"/>
      <c r="I23" s="49"/>
      <c r="J23" s="49"/>
      <c r="K23" s="49"/>
    </row>
    <row r="24" spans="1:12" ht="36" customHeight="1" x14ac:dyDescent="0.25">
      <c r="A24" s="49"/>
      <c r="B24" s="2373" t="s">
        <v>2527</v>
      </c>
      <c r="C24" s="2373"/>
      <c r="D24" s="2374"/>
      <c r="E24" s="2374"/>
      <c r="F24" s="2374"/>
      <c r="G24" s="2374"/>
      <c r="H24" s="2374"/>
      <c r="I24" s="49"/>
      <c r="J24" s="49"/>
      <c r="K24" s="49"/>
    </row>
    <row r="25" spans="1:12" ht="36" customHeight="1" x14ac:dyDescent="0.25">
      <c r="A25" s="49"/>
      <c r="B25" s="2373" t="s">
        <v>2528</v>
      </c>
      <c r="C25" s="2373"/>
      <c r="D25" s="2374"/>
      <c r="E25" s="2374"/>
      <c r="F25" s="2374"/>
      <c r="G25" s="2374"/>
      <c r="H25" s="2374"/>
      <c r="I25" s="49"/>
      <c r="J25" s="49"/>
      <c r="K25" s="49"/>
      <c r="L25" s="38">
        <f>IF(AND(D23&lt;&gt;"",D24&lt;&gt;"",D25&lt;&gt;""),1,0)</f>
        <v>0</v>
      </c>
    </row>
    <row r="26" spans="1:12" ht="16.5" customHeight="1" x14ac:dyDescent="0.25">
      <c r="A26" s="49"/>
      <c r="B26" s="49"/>
      <c r="C26" s="49"/>
      <c r="D26" s="49"/>
      <c r="E26" s="49"/>
      <c r="F26" s="49"/>
      <c r="G26" s="49"/>
      <c r="H26" s="49"/>
      <c r="I26" s="49"/>
      <c r="J26" s="49"/>
      <c r="K26" s="49"/>
    </row>
    <row r="27" spans="1:12" ht="14.25" customHeight="1" x14ac:dyDescent="0.25">
      <c r="A27" s="49"/>
      <c r="B27" s="185" t="s">
        <v>2529</v>
      </c>
      <c r="C27" s="185"/>
      <c r="D27" s="185"/>
      <c r="E27" s="185"/>
      <c r="F27" s="185"/>
      <c r="G27" s="185"/>
      <c r="H27" s="185"/>
      <c r="I27" s="185"/>
      <c r="J27" s="185"/>
      <c r="K27" s="49"/>
    </row>
    <row r="28" spans="1:12" ht="19.5" customHeight="1" x14ac:dyDescent="0.25">
      <c r="A28" s="49"/>
      <c r="B28" s="2373" t="s">
        <v>2526</v>
      </c>
      <c r="C28" s="2373"/>
      <c r="D28" s="2374"/>
      <c r="E28" s="2374"/>
      <c r="F28" s="2374"/>
      <c r="G28" s="2374"/>
      <c r="H28" s="2374"/>
      <c r="I28" s="49"/>
      <c r="J28" s="49"/>
      <c r="K28" s="49"/>
    </row>
    <row r="29" spans="1:12" ht="36" customHeight="1" x14ac:dyDescent="0.25">
      <c r="A29" s="49"/>
      <c r="B29" s="2373" t="s">
        <v>2527</v>
      </c>
      <c r="C29" s="2373"/>
      <c r="D29" s="2374"/>
      <c r="E29" s="2374"/>
      <c r="F29" s="2374"/>
      <c r="G29" s="2374"/>
      <c r="H29" s="2374"/>
      <c r="I29" s="49"/>
      <c r="J29" s="49"/>
      <c r="K29" s="49"/>
    </row>
    <row r="30" spans="1:12" ht="36" customHeight="1" x14ac:dyDescent="0.25">
      <c r="A30" s="49"/>
      <c r="B30" s="2373" t="s">
        <v>2528</v>
      </c>
      <c r="C30" s="2373"/>
      <c r="D30" s="2374"/>
      <c r="E30" s="2374"/>
      <c r="F30" s="2374"/>
      <c r="G30" s="2374"/>
      <c r="H30" s="2374"/>
      <c r="I30" s="49"/>
      <c r="J30" s="49"/>
      <c r="K30" s="49"/>
      <c r="L30" s="38">
        <f>IF(AND(D28&lt;&gt;"",D29&lt;&gt;"",D30&lt;&gt;""),1,0)</f>
        <v>0</v>
      </c>
    </row>
    <row r="31" spans="1:12" ht="16.5" customHeight="1" x14ac:dyDescent="0.25">
      <c r="A31" s="49"/>
      <c r="B31" s="49"/>
      <c r="C31" s="49"/>
      <c r="D31" s="49"/>
      <c r="E31" s="49"/>
      <c r="F31" s="49"/>
      <c r="G31" s="49"/>
      <c r="H31" s="49"/>
      <c r="I31" s="49"/>
      <c r="J31" s="49"/>
      <c r="K31" s="49"/>
    </row>
    <row r="32" spans="1:12" ht="14.25" customHeight="1" x14ac:dyDescent="0.25">
      <c r="A32" s="49"/>
      <c r="B32" s="185" t="s">
        <v>2530</v>
      </c>
      <c r="C32" s="185"/>
      <c r="D32" s="185"/>
      <c r="E32" s="185"/>
      <c r="F32" s="185"/>
      <c r="G32" s="185"/>
      <c r="H32" s="185"/>
      <c r="I32" s="185"/>
      <c r="J32" s="185"/>
      <c r="K32" s="49"/>
    </row>
    <row r="33" spans="1:13" ht="19.5" customHeight="1" x14ac:dyDescent="0.25">
      <c r="A33" s="49"/>
      <c r="B33" s="2373" t="s">
        <v>2526</v>
      </c>
      <c r="C33" s="2373"/>
      <c r="D33" s="2374"/>
      <c r="E33" s="2374"/>
      <c r="F33" s="2374"/>
      <c r="G33" s="2374"/>
      <c r="H33" s="2374"/>
      <c r="I33" s="49"/>
      <c r="J33" s="49"/>
      <c r="K33" s="49"/>
    </row>
    <row r="34" spans="1:13" ht="36" customHeight="1" x14ac:dyDescent="0.25">
      <c r="A34" s="49"/>
      <c r="B34" s="2373" t="s">
        <v>2527</v>
      </c>
      <c r="C34" s="2373"/>
      <c r="D34" s="2374"/>
      <c r="E34" s="2374"/>
      <c r="F34" s="2374"/>
      <c r="G34" s="2374"/>
      <c r="H34" s="2374"/>
      <c r="I34" s="49"/>
      <c r="J34" s="49"/>
      <c r="K34" s="49"/>
    </row>
    <row r="35" spans="1:13" ht="36" customHeight="1" x14ac:dyDescent="0.25">
      <c r="A35" s="49"/>
      <c r="B35" s="2373" t="s">
        <v>2528</v>
      </c>
      <c r="C35" s="2373"/>
      <c r="D35" s="2374"/>
      <c r="E35" s="2374"/>
      <c r="F35" s="2374"/>
      <c r="G35" s="2374"/>
      <c r="H35" s="2374"/>
      <c r="I35" s="49"/>
      <c r="J35" s="49"/>
      <c r="K35" s="49"/>
      <c r="L35" s="38">
        <f>IF(AND(D33&lt;&gt;"",D34&lt;&gt;"",D35&lt;&gt;""),1,0)</f>
        <v>0</v>
      </c>
    </row>
    <row r="36" spans="1:13" ht="16.5" customHeight="1" x14ac:dyDescent="0.25">
      <c r="A36" s="49"/>
      <c r="B36" s="49"/>
      <c r="C36" s="49"/>
      <c r="D36" s="49"/>
      <c r="E36" s="49"/>
      <c r="F36" s="49"/>
      <c r="G36" s="49"/>
      <c r="H36" s="49"/>
      <c r="I36" s="49"/>
      <c r="J36" s="49"/>
      <c r="K36" s="49"/>
    </row>
    <row r="37" spans="1:13" ht="14.25" customHeight="1" x14ac:dyDescent="0.25">
      <c r="A37" s="49"/>
      <c r="B37" s="185" t="s">
        <v>2531</v>
      </c>
      <c r="C37" s="185"/>
      <c r="D37" s="185"/>
      <c r="E37" s="185"/>
      <c r="F37" s="185"/>
      <c r="G37" s="185"/>
      <c r="H37" s="185"/>
      <c r="I37" s="185"/>
      <c r="J37" s="185"/>
      <c r="K37" s="49"/>
    </row>
    <row r="38" spans="1:13" ht="19.5" customHeight="1" x14ac:dyDescent="0.25">
      <c r="A38" s="49"/>
      <c r="B38" s="2373" t="s">
        <v>2526</v>
      </c>
      <c r="C38" s="2373"/>
      <c r="D38" s="2374"/>
      <c r="E38" s="2374"/>
      <c r="F38" s="2374"/>
      <c r="G38" s="2374"/>
      <c r="H38" s="2374"/>
      <c r="I38" s="49"/>
      <c r="J38" s="49"/>
      <c r="K38" s="49"/>
    </row>
    <row r="39" spans="1:13" ht="36" customHeight="1" x14ac:dyDescent="0.25">
      <c r="A39" s="49"/>
      <c r="B39" s="2373" t="s">
        <v>2527</v>
      </c>
      <c r="C39" s="2373"/>
      <c r="D39" s="2374"/>
      <c r="E39" s="2374"/>
      <c r="F39" s="2374"/>
      <c r="G39" s="2374"/>
      <c r="H39" s="2374"/>
      <c r="I39" s="49"/>
      <c r="J39" s="49"/>
      <c r="K39" s="49"/>
    </row>
    <row r="40" spans="1:13" ht="36" customHeight="1" x14ac:dyDescent="0.25">
      <c r="A40" s="49"/>
      <c r="B40" s="2373" t="s">
        <v>2528</v>
      </c>
      <c r="C40" s="2373"/>
      <c r="D40" s="2374"/>
      <c r="E40" s="2374"/>
      <c r="F40" s="2374"/>
      <c r="G40" s="2374"/>
      <c r="H40" s="2374"/>
      <c r="I40" s="49"/>
      <c r="J40" s="49"/>
      <c r="K40" s="49"/>
      <c r="L40" s="38">
        <f>IF(AND(D38&lt;&gt;"",D39&lt;&gt;"",D40&lt;&gt;""),1,0)</f>
        <v>0</v>
      </c>
    </row>
    <row r="41" spans="1:13" ht="21" customHeight="1" x14ac:dyDescent="0.25">
      <c r="A41" s="49"/>
      <c r="B41" s="49"/>
      <c r="C41" s="49"/>
      <c r="D41" s="49"/>
      <c r="E41" s="49"/>
      <c r="F41" s="49"/>
      <c r="G41" s="49"/>
      <c r="H41" s="49"/>
      <c r="I41" s="49"/>
      <c r="J41" s="49"/>
      <c r="K41" s="49"/>
    </row>
    <row r="42" spans="1:13" ht="18" customHeight="1" x14ac:dyDescent="0.25">
      <c r="A42" s="2365" t="s">
        <v>186</v>
      </c>
      <c r="B42" s="2365"/>
      <c r="C42" s="2365"/>
      <c r="D42" s="2365"/>
      <c r="E42" s="2365"/>
      <c r="F42" s="2365"/>
      <c r="G42" s="2365"/>
      <c r="H42" s="2365"/>
      <c r="I42" s="2365"/>
      <c r="J42" s="2365"/>
      <c r="K42" s="2365"/>
    </row>
    <row r="43" spans="1:13" ht="12.75" customHeight="1" x14ac:dyDescent="0.25">
      <c r="A43" s="49"/>
      <c r="B43" s="50"/>
      <c r="C43" s="50"/>
      <c r="D43" s="50"/>
      <c r="E43" s="49"/>
      <c r="F43" s="49"/>
      <c r="G43" s="49"/>
      <c r="H43" s="49"/>
      <c r="I43" s="49"/>
      <c r="J43" s="49"/>
      <c r="K43" s="49"/>
    </row>
    <row r="44" spans="1:13" ht="21" customHeight="1" x14ac:dyDescent="0.25">
      <c r="A44" s="49"/>
      <c r="B44" s="2369" t="s">
        <v>2532</v>
      </c>
      <c r="C44" s="2370"/>
      <c r="D44" s="2370"/>
      <c r="E44" s="2370"/>
      <c r="F44" s="2370"/>
      <c r="G44" s="1311" t="s">
        <v>1737</v>
      </c>
      <c r="H44" s="2371" t="s">
        <v>1738</v>
      </c>
      <c r="I44" s="2372"/>
      <c r="J44" s="49"/>
      <c r="K44" s="49"/>
    </row>
    <row r="45" spans="1:13" ht="30" customHeight="1" x14ac:dyDescent="0.25">
      <c r="A45" s="49"/>
      <c r="B45" s="1576" t="s">
        <v>2533</v>
      </c>
      <c r="C45" s="1577"/>
      <c r="D45" s="1577"/>
      <c r="E45" s="1577"/>
      <c r="F45" s="1578"/>
      <c r="G45" s="1302" t="s">
        <v>124</v>
      </c>
      <c r="H45" s="1763"/>
      <c r="I45" s="1841"/>
      <c r="J45" s="49"/>
      <c r="K45" s="49"/>
      <c r="L45" s="38" t="s">
        <v>9</v>
      </c>
    </row>
    <row r="46" spans="1:13" ht="30" customHeight="1" x14ac:dyDescent="0.25">
      <c r="A46" s="49"/>
      <c r="B46" s="1576" t="s">
        <v>2534</v>
      </c>
      <c r="C46" s="1577"/>
      <c r="D46" s="1577"/>
      <c r="E46" s="1577"/>
      <c r="F46" s="1578"/>
      <c r="G46" s="1302" t="s">
        <v>124</v>
      </c>
      <c r="H46" s="1763"/>
      <c r="I46" s="1841"/>
      <c r="J46" s="49"/>
      <c r="K46" s="49"/>
      <c r="L46" s="38" t="s">
        <v>9</v>
      </c>
      <c r="M46" s="38" t="s">
        <v>9</v>
      </c>
    </row>
    <row r="47" spans="1:13" ht="12.75" customHeight="1" x14ac:dyDescent="0.25">
      <c r="A47" s="49"/>
      <c r="B47" s="50"/>
      <c r="C47" s="50"/>
      <c r="D47" s="50"/>
      <c r="E47" s="49"/>
      <c r="F47" s="49"/>
      <c r="G47" s="49"/>
      <c r="H47" s="49"/>
      <c r="I47" s="49"/>
      <c r="J47" s="49"/>
      <c r="K47" s="49"/>
    </row>
    <row r="48" spans="1:13" ht="21" customHeight="1" x14ac:dyDescent="0.25">
      <c r="A48" s="49"/>
      <c r="B48" s="2369" t="s">
        <v>2535</v>
      </c>
      <c r="C48" s="2370"/>
      <c r="D48" s="2370"/>
      <c r="E48" s="2370"/>
      <c r="F48" s="2370"/>
      <c r="G48" s="1311" t="s">
        <v>1737</v>
      </c>
      <c r="H48" s="2371" t="s">
        <v>1738</v>
      </c>
      <c r="I48" s="2372"/>
      <c r="J48" s="49"/>
      <c r="K48" s="49"/>
    </row>
    <row r="49" spans="1:13" ht="30" customHeight="1" x14ac:dyDescent="0.25">
      <c r="A49" s="49"/>
      <c r="B49" s="1576" t="s">
        <v>2533</v>
      </c>
      <c r="C49" s="1577"/>
      <c r="D49" s="1577"/>
      <c r="E49" s="1577"/>
      <c r="F49" s="1578"/>
      <c r="G49" s="1302" t="s">
        <v>124</v>
      </c>
      <c r="H49" s="1763"/>
      <c r="I49" s="1841"/>
      <c r="J49" s="49"/>
      <c r="K49" s="49"/>
      <c r="L49" s="38" t="s">
        <v>9</v>
      </c>
    </row>
    <row r="50" spans="1:13" ht="30" customHeight="1" x14ac:dyDescent="0.25">
      <c r="A50" s="49"/>
      <c r="B50" s="1576" t="s">
        <v>2534</v>
      </c>
      <c r="C50" s="1577"/>
      <c r="D50" s="1577"/>
      <c r="E50" s="1577"/>
      <c r="F50" s="1578"/>
      <c r="G50" s="1302" t="s">
        <v>124</v>
      </c>
      <c r="H50" s="1763"/>
      <c r="I50" s="1841"/>
      <c r="J50" s="49"/>
      <c r="K50" s="49"/>
      <c r="L50" s="38" t="s">
        <v>9</v>
      </c>
      <c r="M50" s="38" t="s">
        <v>9</v>
      </c>
    </row>
    <row r="51" spans="1:13" ht="12.75" customHeight="1" x14ac:dyDescent="0.25">
      <c r="A51" s="49"/>
      <c r="B51" s="50"/>
      <c r="C51" s="50"/>
      <c r="D51" s="50"/>
      <c r="E51" s="49"/>
      <c r="F51" s="49"/>
      <c r="G51" s="49"/>
      <c r="H51" s="49"/>
      <c r="I51" s="49"/>
      <c r="J51" s="49"/>
      <c r="K51" s="49"/>
    </row>
    <row r="52" spans="1:13" ht="21" customHeight="1" x14ac:dyDescent="0.25">
      <c r="A52" s="49"/>
      <c r="B52" s="2369" t="s">
        <v>2536</v>
      </c>
      <c r="C52" s="2370"/>
      <c r="D52" s="2370"/>
      <c r="E52" s="2370"/>
      <c r="F52" s="2370"/>
      <c r="G52" s="1311" t="s">
        <v>1737</v>
      </c>
      <c r="H52" s="2371" t="s">
        <v>1738</v>
      </c>
      <c r="I52" s="2372"/>
      <c r="J52" s="49"/>
      <c r="K52" s="49"/>
    </row>
    <row r="53" spans="1:13" ht="30" customHeight="1" x14ac:dyDescent="0.25">
      <c r="A53" s="49"/>
      <c r="B53" s="1576" t="s">
        <v>2533</v>
      </c>
      <c r="C53" s="1577"/>
      <c r="D53" s="1577"/>
      <c r="E53" s="1577"/>
      <c r="F53" s="1578"/>
      <c r="G53" s="1302" t="s">
        <v>124</v>
      </c>
      <c r="H53" s="1763"/>
      <c r="I53" s="1841"/>
      <c r="J53" s="49"/>
      <c r="K53" s="49"/>
      <c r="L53" s="38" t="s">
        <v>9</v>
      </c>
    </row>
    <row r="54" spans="1:13" ht="30" customHeight="1" x14ac:dyDescent="0.25">
      <c r="A54" s="49"/>
      <c r="B54" s="1576" t="s">
        <v>2534</v>
      </c>
      <c r="C54" s="1577"/>
      <c r="D54" s="1577"/>
      <c r="E54" s="1577"/>
      <c r="F54" s="1578"/>
      <c r="G54" s="1302" t="s">
        <v>124</v>
      </c>
      <c r="H54" s="1763"/>
      <c r="I54" s="1841"/>
      <c r="J54" s="49"/>
      <c r="K54" s="49"/>
      <c r="L54" s="38" t="s">
        <v>9</v>
      </c>
      <c r="M54" s="38" t="s">
        <v>9</v>
      </c>
    </row>
    <row r="55" spans="1:13" ht="12.75" customHeight="1" x14ac:dyDescent="0.25">
      <c r="A55" s="49"/>
      <c r="B55" s="50"/>
      <c r="C55" s="50"/>
      <c r="D55" s="50"/>
      <c r="E55" s="49"/>
      <c r="F55" s="49"/>
      <c r="G55" s="49"/>
      <c r="H55" s="49"/>
      <c r="I55" s="49"/>
      <c r="J55" s="49"/>
      <c r="K55" s="49"/>
    </row>
    <row r="56" spans="1:13" ht="21" customHeight="1" x14ac:dyDescent="0.25">
      <c r="A56" s="49"/>
      <c r="B56" s="2369" t="s">
        <v>2537</v>
      </c>
      <c r="C56" s="2370"/>
      <c r="D56" s="2370"/>
      <c r="E56" s="2370"/>
      <c r="F56" s="2370"/>
      <c r="G56" s="1311" t="s">
        <v>1737</v>
      </c>
      <c r="H56" s="2371" t="s">
        <v>1738</v>
      </c>
      <c r="I56" s="2372"/>
      <c r="J56" s="49"/>
      <c r="K56" s="49"/>
    </row>
    <row r="57" spans="1:13" ht="30" customHeight="1" x14ac:dyDescent="0.25">
      <c r="A57" s="49"/>
      <c r="B57" s="1576" t="s">
        <v>2533</v>
      </c>
      <c r="C57" s="1577"/>
      <c r="D57" s="1577"/>
      <c r="E57" s="1577"/>
      <c r="F57" s="1578"/>
      <c r="G57" s="1302" t="s">
        <v>124</v>
      </c>
      <c r="H57" s="1763"/>
      <c r="I57" s="1841"/>
      <c r="J57" s="49"/>
      <c r="K57" s="49"/>
      <c r="L57" s="38" t="s">
        <v>9</v>
      </c>
    </row>
    <row r="58" spans="1:13" ht="30" customHeight="1" x14ac:dyDescent="0.25">
      <c r="A58" s="49"/>
      <c r="B58" s="1576" t="s">
        <v>2534</v>
      </c>
      <c r="C58" s="1577"/>
      <c r="D58" s="1577"/>
      <c r="E58" s="1577"/>
      <c r="F58" s="1578"/>
      <c r="G58" s="1302" t="s">
        <v>124</v>
      </c>
      <c r="H58" s="1763"/>
      <c r="I58" s="1841"/>
      <c r="J58" s="49"/>
      <c r="K58" s="49"/>
      <c r="L58" s="38" t="s">
        <v>9</v>
      </c>
      <c r="M58" s="38" t="s">
        <v>9</v>
      </c>
    </row>
    <row r="59" spans="1:13" ht="24.75" customHeight="1" x14ac:dyDescent="0.25">
      <c r="A59" s="49"/>
      <c r="B59" s="2187"/>
      <c r="C59" s="2187"/>
      <c r="D59" s="2187"/>
      <c r="E59" s="2187"/>
      <c r="F59" s="2187"/>
      <c r="G59" s="2187"/>
      <c r="H59" s="2187"/>
      <c r="I59" s="2187"/>
      <c r="J59" s="49"/>
      <c r="K59" s="49"/>
    </row>
    <row r="60" spans="1:13" ht="18" customHeight="1" x14ac:dyDescent="0.25">
      <c r="A60" s="1304" t="s">
        <v>22</v>
      </c>
      <c r="B60" s="1312"/>
      <c r="C60" s="1312"/>
      <c r="D60" s="1312"/>
      <c r="E60" s="1312"/>
      <c r="F60" s="1312"/>
      <c r="G60" s="1312"/>
      <c r="H60" s="1312"/>
      <c r="I60" s="1312"/>
      <c r="J60" s="1312"/>
      <c r="K60" s="1312"/>
    </row>
    <row r="61" spans="1:13" x14ac:dyDescent="0.25">
      <c r="A61" s="49"/>
      <c r="B61" s="50"/>
      <c r="C61" s="50"/>
      <c r="D61" s="50"/>
      <c r="E61" s="50"/>
      <c r="F61" s="49"/>
      <c r="G61" s="49"/>
      <c r="H61" s="49"/>
      <c r="I61" s="49"/>
      <c r="J61" s="49"/>
      <c r="K61" s="49"/>
    </row>
    <row r="62" spans="1:13" ht="18" customHeight="1" x14ac:dyDescent="0.25">
      <c r="A62" s="49"/>
      <c r="B62" s="385" t="s">
        <v>53</v>
      </c>
      <c r="C62" s="1303">
        <f>SUM(L23:L41)</f>
        <v>0</v>
      </c>
      <c r="D62" s="50"/>
      <c r="E62" s="49"/>
      <c r="F62" s="49"/>
      <c r="G62" s="49"/>
      <c r="H62" s="49"/>
      <c r="I62" s="49"/>
      <c r="J62" s="49"/>
      <c r="K62" s="49"/>
    </row>
    <row r="63" spans="1:13" ht="18" customHeight="1" x14ac:dyDescent="0.25">
      <c r="A63" s="49"/>
      <c r="B63" s="385" t="s">
        <v>492</v>
      </c>
      <c r="C63" s="181" t="str">
        <f>IF(C62&gt;0,IF(C62=COUNTIF(M46:M58,"Yes"),"Yes","No"),"No")</f>
        <v>No</v>
      </c>
      <c r="D63" s="50"/>
      <c r="E63" s="50"/>
      <c r="F63" s="49"/>
      <c r="G63" s="49"/>
      <c r="H63" s="49"/>
      <c r="I63" s="49"/>
      <c r="J63" s="49"/>
      <c r="K63" s="49"/>
    </row>
    <row r="64" spans="1:13" x14ac:dyDescent="0.25">
      <c r="A64" s="49"/>
      <c r="B64" s="50"/>
      <c r="C64" s="50"/>
      <c r="D64" s="50"/>
      <c r="E64" s="50"/>
      <c r="F64" s="49"/>
      <c r="G64" s="49"/>
      <c r="H64" s="49"/>
      <c r="I64" s="49"/>
      <c r="J64" s="49"/>
      <c r="K64" s="49"/>
    </row>
  </sheetData>
  <sheetProtection algorithmName="SHA-512" hashValue="HWdvDSDyxbjHpVxU1dL80N8LHPHGLJp9Lr014NmJfIRSan3KyrpOQQiX9VIyOHwhMzmZ9jrGvQF803nXxp6KKg==" saltValue="97xTKc+PszuKpM2eBV7+9w==" spinCount="100000" sheet="1" objects="1" scenarios="1"/>
  <mergeCells count="58">
    <mergeCell ref="B57:F57"/>
    <mergeCell ref="H57:I57"/>
    <mergeCell ref="B58:F58"/>
    <mergeCell ref="H58:I58"/>
    <mergeCell ref="B59:I59"/>
    <mergeCell ref="B53:F53"/>
    <mergeCell ref="H53:I53"/>
    <mergeCell ref="B54:F54"/>
    <mergeCell ref="H54:I54"/>
    <mergeCell ref="B56:F56"/>
    <mergeCell ref="H56:I56"/>
    <mergeCell ref="B49:F49"/>
    <mergeCell ref="H49:I49"/>
    <mergeCell ref="B50:F50"/>
    <mergeCell ref="H50:I50"/>
    <mergeCell ref="B52:F52"/>
    <mergeCell ref="H52:I52"/>
    <mergeCell ref="B45:F45"/>
    <mergeCell ref="H45:I45"/>
    <mergeCell ref="B46:F46"/>
    <mergeCell ref="H46:I46"/>
    <mergeCell ref="B48:F48"/>
    <mergeCell ref="H48:I48"/>
    <mergeCell ref="A1:K1"/>
    <mergeCell ref="B38:C38"/>
    <mergeCell ref="D38:H38"/>
    <mergeCell ref="B39:C39"/>
    <mergeCell ref="D39:H39"/>
    <mergeCell ref="B40:C40"/>
    <mergeCell ref="D40:H40"/>
    <mergeCell ref="A42:K42"/>
    <mergeCell ref="B23:C23"/>
    <mergeCell ref="B24:C24"/>
    <mergeCell ref="D35:H35"/>
    <mergeCell ref="B29:C29"/>
    <mergeCell ref="B25:C25"/>
    <mergeCell ref="D29:H29"/>
    <mergeCell ref="B30:C30"/>
    <mergeCell ref="D30:H30"/>
    <mergeCell ref="B28:C28"/>
    <mergeCell ref="B34:C34"/>
    <mergeCell ref="D34:H34"/>
    <mergeCell ref="B44:F44"/>
    <mergeCell ref="H44:I44"/>
    <mergeCell ref="I2:J4"/>
    <mergeCell ref="A5:K7"/>
    <mergeCell ref="B11:E11"/>
    <mergeCell ref="B12:E12"/>
    <mergeCell ref="B33:C33"/>
    <mergeCell ref="D33:H33"/>
    <mergeCell ref="K2:K4"/>
    <mergeCell ref="D23:H23"/>
    <mergeCell ref="D24:H24"/>
    <mergeCell ref="D25:H25"/>
    <mergeCell ref="D28:H28"/>
    <mergeCell ref="A9:K9"/>
    <mergeCell ref="A14:K14"/>
    <mergeCell ref="B35:C35"/>
  </mergeCells>
  <conditionalFormatting sqref="G45:H46">
    <cfRule type="expression" dxfId="7" priority="7">
      <formula>$B45="No evidence required at this submission stage"</formula>
    </cfRule>
    <cfRule type="expression" dxfId="6" priority="8">
      <formula>$B45="/"</formula>
    </cfRule>
  </conditionalFormatting>
  <conditionalFormatting sqref="G49:H50">
    <cfRule type="expression" dxfId="5" priority="5">
      <formula>$B49="No evidence required at this submission stage"</formula>
    </cfRule>
    <cfRule type="expression" dxfId="4" priority="6">
      <formula>$B49="/"</formula>
    </cfRule>
  </conditionalFormatting>
  <conditionalFormatting sqref="G53:H54">
    <cfRule type="expression" dxfId="3" priority="3">
      <formula>$B53="No evidence required at this submission stage"</formula>
    </cfRule>
    <cfRule type="expression" dxfId="2" priority="4">
      <formula>$B53="/"</formula>
    </cfRule>
  </conditionalFormatting>
  <conditionalFormatting sqref="G57:H58">
    <cfRule type="expression" dxfId="1" priority="1">
      <formula>$B57="No evidence required at this submission stage"</formula>
    </cfRule>
    <cfRule type="expression" dxfId="0" priority="2">
      <formula>$B57="/"</formula>
    </cfRule>
  </conditionalFormatting>
  <dataValidations count="1">
    <dataValidation type="list" allowBlank="1" showInputMessage="1" showErrorMessage="1" sqref="G45:G46 G49:G50 G53:G54 G57:G58" xr:uid="{00000000-0002-0000-3900-000000000000}">
      <formula1>"Select,Submitted,Not submitted"</formula1>
    </dataValidation>
  </dataValidations>
  <hyperlinks>
    <hyperlink ref="K2" location="'Inn-1 Exceptional Performance '!A1" tooltip="Inn-1" display="Inn-1" xr:uid="{00000000-0004-0000-3900-000000000000}"/>
    <hyperlink ref="K2:K4" location="'Inn-1 Exceptional Performance '!B3" tooltip="Inn-1" display="Inn-1" xr:uid="{00000000-0004-0000-3900-000001000000}"/>
  </hyperlinks>
  <pageMargins left="0.7" right="0.7" top="0.75" bottom="0.75" header="0.3" footer="0.3"/>
  <pageSetup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tabColor theme="0"/>
  </sheetPr>
  <dimension ref="A1:U251"/>
  <sheetViews>
    <sheetView showRowColHeaders="0" zoomScaleNormal="100" workbookViewId="0">
      <pane ySplit="5" topLeftCell="A6" activePane="bottomLeft" state="frozen"/>
      <selection pane="bottomLeft" activeCell="C11" sqref="C11:F11"/>
    </sheetView>
  </sheetViews>
  <sheetFormatPr defaultColWidth="0" defaultRowHeight="15" customHeight="1" zeroHeight="1" x14ac:dyDescent="0.25"/>
  <cols>
    <col min="1" max="1" width="3.7109375" style="1204" customWidth="1"/>
    <col min="2" max="6" width="9.140625" style="1204" customWidth="1"/>
    <col min="7" max="7" width="10.7109375" style="1204" customWidth="1"/>
    <col min="8" max="11" width="9.140625" style="1204" customWidth="1"/>
    <col min="12" max="12" width="21.28515625" style="1204" customWidth="1"/>
    <col min="13" max="13" width="9.85546875" style="1204" customWidth="1"/>
    <col min="14" max="14" width="8.5703125" style="1204" customWidth="1"/>
    <col min="15" max="16" width="21.28515625" style="1204" customWidth="1"/>
    <col min="17" max="17" width="9.140625" style="1204" customWidth="1"/>
    <col min="18" max="16384" width="9.140625" style="1204" hidden="1"/>
  </cols>
  <sheetData>
    <row r="1" spans="1:21" s="1203" customFormat="1" ht="30" customHeight="1" x14ac:dyDescent="0.25">
      <c r="A1" s="2388" t="s">
        <v>2293</v>
      </c>
      <c r="B1" s="2388"/>
      <c r="C1" s="2388"/>
      <c r="D1" s="2388"/>
      <c r="E1" s="2388"/>
      <c r="F1" s="2388"/>
      <c r="G1" s="2388"/>
      <c r="H1" s="2388"/>
      <c r="I1" s="2388"/>
      <c r="J1" s="2388"/>
      <c r="K1" s="2388"/>
      <c r="L1" s="2388"/>
      <c r="M1" s="2388"/>
      <c r="N1" s="2388"/>
      <c r="O1" s="2388"/>
      <c r="P1" s="2388"/>
      <c r="Q1" s="2388"/>
      <c r="R1" s="1202"/>
      <c r="S1" s="1202"/>
      <c r="T1" s="1202"/>
      <c r="U1" s="1202"/>
    </row>
    <row r="2" spans="1:21" ht="18" customHeight="1" x14ac:dyDescent="0.25">
      <c r="A2" s="2389" t="s">
        <v>2294</v>
      </c>
      <c r="B2" s="2389"/>
      <c r="C2" s="2389"/>
      <c r="D2" s="2389"/>
      <c r="E2" s="2389"/>
      <c r="F2" s="2389"/>
      <c r="G2" s="2389"/>
      <c r="H2" s="2389"/>
      <c r="I2" s="2389"/>
      <c r="J2" s="2389"/>
      <c r="K2" s="2389"/>
      <c r="L2" s="2389"/>
      <c r="M2" s="2389"/>
      <c r="N2" s="2389"/>
      <c r="O2" s="2389"/>
      <c r="P2" s="2389"/>
      <c r="Q2" s="2389"/>
      <c r="R2" s="273"/>
      <c r="S2" s="273"/>
      <c r="T2" s="273"/>
      <c r="U2" s="273"/>
    </row>
    <row r="3" spans="1:21" ht="18" customHeight="1" x14ac:dyDescent="0.25">
      <c r="A3" s="2389"/>
      <c r="B3" s="2389"/>
      <c r="C3" s="2389"/>
      <c r="D3" s="2389"/>
      <c r="E3" s="2389"/>
      <c r="F3" s="2389"/>
      <c r="G3" s="2389"/>
      <c r="H3" s="2389"/>
      <c r="I3" s="2389"/>
      <c r="J3" s="2389"/>
      <c r="K3" s="2389"/>
      <c r="L3" s="2389"/>
      <c r="M3" s="2389"/>
      <c r="N3" s="2389"/>
      <c r="O3" s="2389"/>
      <c r="P3" s="2389"/>
      <c r="Q3" s="2389"/>
      <c r="R3" s="273"/>
      <c r="S3" s="273"/>
      <c r="T3" s="273"/>
      <c r="U3" s="273"/>
    </row>
    <row r="4" spans="1:21" x14ac:dyDescent="0.25">
      <c r="A4" s="273"/>
      <c r="B4" s="1205"/>
      <c r="C4" s="273"/>
      <c r="D4" s="273"/>
      <c r="E4" s="273"/>
      <c r="F4" s="273"/>
      <c r="G4" s="273"/>
      <c r="H4" s="273"/>
      <c r="I4" s="273"/>
      <c r="J4" s="273"/>
      <c r="K4" s="273"/>
      <c r="L4" s="273"/>
      <c r="M4" s="273"/>
      <c r="N4" s="273"/>
      <c r="O4" s="273"/>
      <c r="P4" s="273"/>
      <c r="Q4" s="273"/>
      <c r="R4" s="273"/>
      <c r="S4" s="273"/>
      <c r="T4" s="273"/>
      <c r="U4" s="273"/>
    </row>
    <row r="5" spans="1:21" ht="30" customHeight="1" x14ac:dyDescent="0.25">
      <c r="A5" s="273"/>
      <c r="B5" s="1226" t="s">
        <v>363</v>
      </c>
      <c r="C5" s="2390" t="s">
        <v>683</v>
      </c>
      <c r="D5" s="2390"/>
      <c r="E5" s="2390"/>
      <c r="F5" s="2390"/>
      <c r="G5" s="1206" t="s">
        <v>2295</v>
      </c>
      <c r="H5" s="2391" t="s">
        <v>714</v>
      </c>
      <c r="I5" s="2391"/>
      <c r="J5" s="2391"/>
      <c r="K5" s="2391"/>
      <c r="L5" s="2391"/>
      <c r="M5" s="2391"/>
      <c r="N5" s="2391"/>
      <c r="O5" s="2391"/>
      <c r="P5" s="2392"/>
      <c r="Q5" s="273"/>
      <c r="R5" s="273"/>
      <c r="S5" s="273"/>
      <c r="T5" s="273"/>
      <c r="U5" s="273"/>
    </row>
    <row r="6" spans="1:21" ht="30" customHeight="1" x14ac:dyDescent="0.25">
      <c r="A6" s="273"/>
      <c r="B6" s="1227" t="s">
        <v>59</v>
      </c>
      <c r="C6" s="2393" t="s">
        <v>55</v>
      </c>
      <c r="D6" s="2393"/>
      <c r="E6" s="2393"/>
      <c r="F6" s="2394"/>
      <c r="G6" s="1207"/>
      <c r="H6" s="2376"/>
      <c r="I6" s="2377"/>
      <c r="J6" s="2377"/>
      <c r="K6" s="2377"/>
      <c r="L6" s="2377"/>
      <c r="M6" s="2377"/>
      <c r="N6" s="2377"/>
      <c r="O6" s="2377"/>
      <c r="P6" s="2378"/>
      <c r="Q6" s="273"/>
      <c r="R6" s="273"/>
      <c r="S6" s="273"/>
      <c r="T6" s="273"/>
      <c r="U6" s="273"/>
    </row>
    <row r="7" spans="1:21" ht="30" customHeight="1" x14ac:dyDescent="0.25">
      <c r="A7" s="273"/>
      <c r="B7" s="1227" t="s">
        <v>63</v>
      </c>
      <c r="C7" s="2379" t="s">
        <v>48</v>
      </c>
      <c r="D7" s="2379"/>
      <c r="E7" s="2379" t="s">
        <v>21</v>
      </c>
      <c r="F7" s="2380"/>
      <c r="G7" s="1208"/>
      <c r="H7" s="2383"/>
      <c r="I7" s="2384"/>
      <c r="J7" s="2384"/>
      <c r="K7" s="2384"/>
      <c r="L7" s="2384"/>
      <c r="M7" s="2384"/>
      <c r="N7" s="2384"/>
      <c r="O7" s="2384"/>
      <c r="P7" s="2385"/>
      <c r="Q7" s="273"/>
      <c r="R7" s="273"/>
      <c r="S7" s="273"/>
      <c r="T7" s="273"/>
      <c r="U7" s="273"/>
    </row>
    <row r="8" spans="1:21" ht="30" customHeight="1" x14ac:dyDescent="0.25">
      <c r="A8" s="273"/>
      <c r="B8" s="1227" t="s">
        <v>67</v>
      </c>
      <c r="C8" s="2379" t="s">
        <v>2217</v>
      </c>
      <c r="D8" s="2379"/>
      <c r="E8" s="2379" t="s">
        <v>21</v>
      </c>
      <c r="F8" s="2380"/>
      <c r="G8" s="1209"/>
      <c r="H8" s="2383"/>
      <c r="I8" s="2384"/>
      <c r="J8" s="2384"/>
      <c r="K8" s="2384"/>
      <c r="L8" s="2384"/>
      <c r="M8" s="2384"/>
      <c r="N8" s="2384"/>
      <c r="O8" s="2384"/>
      <c r="P8" s="2385"/>
      <c r="Q8" s="273"/>
      <c r="R8" s="273"/>
      <c r="S8" s="273"/>
      <c r="T8" s="273"/>
      <c r="U8" s="273"/>
    </row>
    <row r="9" spans="1:21" ht="30" customHeight="1" x14ac:dyDescent="0.25">
      <c r="A9" s="273"/>
      <c r="B9" s="1227" t="s">
        <v>70</v>
      </c>
      <c r="C9" s="2379" t="s">
        <v>71</v>
      </c>
      <c r="D9" s="2379"/>
      <c r="E9" s="2379" t="s">
        <v>21</v>
      </c>
      <c r="F9" s="2380"/>
      <c r="G9" s="1209"/>
      <c r="H9" s="2383"/>
      <c r="I9" s="2384"/>
      <c r="J9" s="2384"/>
      <c r="K9" s="2384"/>
      <c r="L9" s="2384"/>
      <c r="M9" s="2384"/>
      <c r="N9" s="2384"/>
      <c r="O9" s="2384"/>
      <c r="P9" s="2385"/>
      <c r="Q9" s="273"/>
      <c r="R9" s="273"/>
      <c r="S9" s="273"/>
      <c r="T9" s="273"/>
      <c r="U9" s="273"/>
    </row>
    <row r="10" spans="1:21" ht="30" customHeight="1" x14ac:dyDescent="0.25">
      <c r="A10" s="273"/>
      <c r="B10" s="1227" t="s">
        <v>74</v>
      </c>
      <c r="C10" s="2379" t="s">
        <v>75</v>
      </c>
      <c r="D10" s="2379"/>
      <c r="E10" s="2379" t="s">
        <v>96</v>
      </c>
      <c r="F10" s="2380"/>
      <c r="G10" s="1209"/>
      <c r="H10" s="2376"/>
      <c r="I10" s="2377"/>
      <c r="J10" s="2377"/>
      <c r="K10" s="2377"/>
      <c r="L10" s="2377"/>
      <c r="M10" s="2377"/>
      <c r="N10" s="2377"/>
      <c r="O10" s="2377"/>
      <c r="P10" s="2378"/>
      <c r="Q10" s="273"/>
      <c r="R10" s="273"/>
      <c r="S10" s="273"/>
      <c r="T10" s="273"/>
      <c r="U10" s="273"/>
    </row>
    <row r="11" spans="1:21" ht="30" customHeight="1" x14ac:dyDescent="0.25">
      <c r="A11" s="273"/>
      <c r="B11" s="1227" t="s">
        <v>78</v>
      </c>
      <c r="C11" s="2379" t="s">
        <v>2225</v>
      </c>
      <c r="D11" s="2379"/>
      <c r="E11" s="2379" t="s">
        <v>125</v>
      </c>
      <c r="F11" s="2380"/>
      <c r="G11" s="1209"/>
      <c r="H11" s="2376"/>
      <c r="I11" s="2377"/>
      <c r="J11" s="2377"/>
      <c r="K11" s="2377"/>
      <c r="L11" s="2377"/>
      <c r="M11" s="2377"/>
      <c r="N11" s="2377"/>
      <c r="O11" s="2377"/>
      <c r="P11" s="2378"/>
      <c r="Q11" s="273"/>
      <c r="R11" s="273"/>
      <c r="S11" s="273"/>
      <c r="T11" s="273"/>
      <c r="U11" s="273"/>
    </row>
    <row r="12" spans="1:21" ht="30" customHeight="1" x14ac:dyDescent="0.25">
      <c r="A12" s="273"/>
      <c r="B12" s="1227" t="s">
        <v>694</v>
      </c>
      <c r="C12" s="2381" t="s">
        <v>365</v>
      </c>
      <c r="D12" s="2381"/>
      <c r="E12" s="2381" t="s">
        <v>125</v>
      </c>
      <c r="F12" s="2382"/>
      <c r="G12" s="1210"/>
      <c r="H12" s="2383"/>
      <c r="I12" s="2384"/>
      <c r="J12" s="2384"/>
      <c r="K12" s="2384"/>
      <c r="L12" s="2384"/>
      <c r="M12" s="2384"/>
      <c r="N12" s="2384"/>
      <c r="O12" s="2384"/>
      <c r="P12" s="2385"/>
      <c r="Q12" s="273"/>
      <c r="R12" s="273"/>
      <c r="S12" s="273"/>
      <c r="T12" s="273"/>
      <c r="U12" s="273"/>
    </row>
    <row r="13" spans="1:21" ht="30" customHeight="1" x14ac:dyDescent="0.25">
      <c r="A13" s="273"/>
      <c r="B13" s="1220" t="s">
        <v>85</v>
      </c>
      <c r="C13" s="2386" t="s">
        <v>86</v>
      </c>
      <c r="D13" s="2386"/>
      <c r="E13" s="2386" t="s">
        <v>32</v>
      </c>
      <c r="F13" s="2387"/>
      <c r="G13" s="1209"/>
      <c r="H13" s="2376"/>
      <c r="I13" s="2377"/>
      <c r="J13" s="2377"/>
      <c r="K13" s="2377"/>
      <c r="L13" s="2377"/>
      <c r="M13" s="2377"/>
      <c r="N13" s="2377"/>
      <c r="O13" s="2377"/>
      <c r="P13" s="2378"/>
      <c r="Q13" s="273"/>
      <c r="R13" s="273"/>
      <c r="S13" s="273"/>
      <c r="T13" s="273"/>
      <c r="U13" s="273"/>
    </row>
    <row r="14" spans="1:21" ht="30" customHeight="1" x14ac:dyDescent="0.25">
      <c r="A14" s="273"/>
      <c r="B14" s="1220" t="s">
        <v>90</v>
      </c>
      <c r="C14" s="2375" t="s">
        <v>91</v>
      </c>
      <c r="D14" s="2375"/>
      <c r="E14" s="2375" t="s">
        <v>32</v>
      </c>
      <c r="F14" s="2375"/>
      <c r="G14" s="1211"/>
      <c r="H14" s="2383"/>
      <c r="I14" s="2384"/>
      <c r="J14" s="2384"/>
      <c r="K14" s="2384"/>
      <c r="L14" s="2384"/>
      <c r="M14" s="2384"/>
      <c r="N14" s="2384"/>
      <c r="O14" s="2384"/>
      <c r="P14" s="2385"/>
      <c r="Q14" s="273"/>
      <c r="R14" s="273"/>
      <c r="S14" s="273"/>
      <c r="T14" s="273"/>
      <c r="U14" s="273"/>
    </row>
    <row r="15" spans="1:21" ht="30" customHeight="1" x14ac:dyDescent="0.25">
      <c r="A15" s="273"/>
      <c r="B15" s="1220" t="s">
        <v>94</v>
      </c>
      <c r="C15" s="2375" t="s">
        <v>696</v>
      </c>
      <c r="D15" s="2375"/>
      <c r="E15" s="2375" t="s">
        <v>244</v>
      </c>
      <c r="F15" s="2375"/>
      <c r="G15" s="1211"/>
      <c r="H15" s="2383"/>
      <c r="I15" s="2384"/>
      <c r="J15" s="2384"/>
      <c r="K15" s="2384"/>
      <c r="L15" s="2384"/>
      <c r="M15" s="2384"/>
      <c r="N15" s="2384"/>
      <c r="O15" s="2384"/>
      <c r="P15" s="2385"/>
      <c r="Q15" s="273"/>
      <c r="R15" s="273"/>
      <c r="S15" s="273"/>
      <c r="T15" s="273"/>
      <c r="U15" s="273"/>
    </row>
    <row r="16" spans="1:21" ht="30" customHeight="1" x14ac:dyDescent="0.25">
      <c r="A16" s="273"/>
      <c r="B16" s="1220" t="s">
        <v>695</v>
      </c>
      <c r="C16" s="2375" t="s">
        <v>365</v>
      </c>
      <c r="D16" s="2375"/>
      <c r="E16" s="2375" t="s">
        <v>125</v>
      </c>
      <c r="F16" s="2375"/>
      <c r="G16" s="1210"/>
      <c r="H16" s="2383"/>
      <c r="I16" s="2384"/>
      <c r="J16" s="2384"/>
      <c r="K16" s="2384"/>
      <c r="L16" s="2384"/>
      <c r="M16" s="2384"/>
      <c r="N16" s="2384"/>
      <c r="O16" s="2384"/>
      <c r="P16" s="2385"/>
      <c r="Q16" s="273"/>
      <c r="R16" s="273"/>
      <c r="S16" s="273"/>
      <c r="T16" s="273"/>
      <c r="U16" s="273"/>
    </row>
    <row r="17" spans="1:21" ht="30" customHeight="1" x14ac:dyDescent="0.25">
      <c r="A17" s="273"/>
      <c r="B17" s="1221" t="s">
        <v>685</v>
      </c>
      <c r="C17" s="2375" t="s">
        <v>1584</v>
      </c>
      <c r="D17" s="2375"/>
      <c r="E17" s="2375" t="s">
        <v>590</v>
      </c>
      <c r="F17" s="2375"/>
      <c r="G17" s="1209"/>
      <c r="H17" s="2376"/>
      <c r="I17" s="2377"/>
      <c r="J17" s="2377"/>
      <c r="K17" s="2377"/>
      <c r="L17" s="2377"/>
      <c r="M17" s="2377"/>
      <c r="N17" s="2377"/>
      <c r="O17" s="2377"/>
      <c r="P17" s="2378"/>
      <c r="Q17" s="273"/>
      <c r="R17" s="273"/>
      <c r="S17" s="273"/>
      <c r="T17" s="273"/>
      <c r="U17" s="273"/>
    </row>
    <row r="18" spans="1:21" ht="30" customHeight="1" x14ac:dyDescent="0.25">
      <c r="A18" s="273"/>
      <c r="B18" s="1221" t="s">
        <v>60</v>
      </c>
      <c r="C18" s="2375" t="s">
        <v>892</v>
      </c>
      <c r="D18" s="2375"/>
      <c r="E18" s="2375"/>
      <c r="F18" s="2375"/>
      <c r="G18" s="1211"/>
      <c r="H18" s="2383"/>
      <c r="I18" s="2384"/>
      <c r="J18" s="2384"/>
      <c r="K18" s="2384"/>
      <c r="L18" s="2384"/>
      <c r="M18" s="2384"/>
      <c r="N18" s="2384"/>
      <c r="O18" s="2384"/>
      <c r="P18" s="2385"/>
      <c r="Q18" s="273"/>
      <c r="R18" s="273"/>
      <c r="S18" s="273"/>
      <c r="T18" s="273"/>
      <c r="U18" s="273"/>
    </row>
    <row r="19" spans="1:21" ht="30" customHeight="1" x14ac:dyDescent="0.25">
      <c r="A19" s="273"/>
      <c r="B19" s="1221" t="s">
        <v>64</v>
      </c>
      <c r="C19" s="2375" t="s">
        <v>1587</v>
      </c>
      <c r="D19" s="2375"/>
      <c r="E19" s="2375"/>
      <c r="F19" s="2375"/>
      <c r="G19" s="1211"/>
      <c r="H19" s="1213"/>
      <c r="I19" s="1214"/>
      <c r="J19" s="1214"/>
      <c r="K19" s="1214"/>
      <c r="L19" s="1214"/>
      <c r="M19" s="1214"/>
      <c r="N19" s="1214"/>
      <c r="O19" s="1214"/>
      <c r="P19" s="1215"/>
      <c r="S19" s="273"/>
      <c r="T19" s="273"/>
      <c r="U19" s="273"/>
    </row>
    <row r="20" spans="1:21" ht="30" customHeight="1" x14ac:dyDescent="0.25">
      <c r="A20" s="273"/>
      <c r="B20" s="1221" t="s">
        <v>68</v>
      </c>
      <c r="C20" s="2375" t="s">
        <v>1585</v>
      </c>
      <c r="D20" s="2375"/>
      <c r="E20" s="2375"/>
      <c r="F20" s="2375"/>
      <c r="G20" s="1211"/>
      <c r="H20" s="2383"/>
      <c r="I20" s="2384"/>
      <c r="J20" s="2384"/>
      <c r="K20" s="2384"/>
      <c r="L20" s="2384"/>
      <c r="M20" s="2384"/>
      <c r="N20" s="2384"/>
      <c r="O20" s="2384"/>
      <c r="P20" s="2385"/>
      <c r="S20" s="273"/>
      <c r="T20" s="273"/>
      <c r="U20" s="273"/>
    </row>
    <row r="21" spans="1:21" ht="30" customHeight="1" x14ac:dyDescent="0.25">
      <c r="A21" s="273"/>
      <c r="B21" s="1221" t="s">
        <v>72</v>
      </c>
      <c r="C21" s="2375" t="s">
        <v>1586</v>
      </c>
      <c r="D21" s="2375"/>
      <c r="E21" s="2375"/>
      <c r="F21" s="2375"/>
      <c r="G21" s="1211"/>
      <c r="H21" s="2383"/>
      <c r="I21" s="2384"/>
      <c r="J21" s="2384"/>
      <c r="K21" s="2384"/>
      <c r="L21" s="2384"/>
      <c r="M21" s="2384"/>
      <c r="N21" s="2384"/>
      <c r="O21" s="2384"/>
      <c r="P21" s="2385"/>
      <c r="S21" s="273"/>
      <c r="T21" s="273"/>
      <c r="U21" s="273"/>
    </row>
    <row r="22" spans="1:21" ht="30" customHeight="1" x14ac:dyDescent="0.25">
      <c r="A22" s="273"/>
      <c r="B22" s="1221" t="s">
        <v>591</v>
      </c>
      <c r="C22" s="2375" t="s">
        <v>757</v>
      </c>
      <c r="D22" s="2375"/>
      <c r="E22" s="2375" t="s">
        <v>590</v>
      </c>
      <c r="F22" s="2375"/>
      <c r="G22" s="1211"/>
      <c r="H22" s="2383"/>
      <c r="I22" s="2384"/>
      <c r="J22" s="2384"/>
      <c r="K22" s="2384"/>
      <c r="L22" s="2384"/>
      <c r="M22" s="2384"/>
      <c r="N22" s="2384"/>
      <c r="O22" s="2384"/>
      <c r="P22" s="2385"/>
      <c r="S22" s="273"/>
      <c r="T22" s="273"/>
      <c r="U22" s="273"/>
    </row>
    <row r="23" spans="1:21" ht="30" customHeight="1" x14ac:dyDescent="0.25">
      <c r="A23" s="273"/>
      <c r="B23" s="1222" t="s">
        <v>80</v>
      </c>
      <c r="C23" s="2375" t="s">
        <v>81</v>
      </c>
      <c r="D23" s="2375"/>
      <c r="E23" s="2375" t="s">
        <v>12</v>
      </c>
      <c r="F23" s="2375"/>
      <c r="G23" s="1209"/>
      <c r="H23" s="2376"/>
      <c r="I23" s="2377"/>
      <c r="J23" s="2377"/>
      <c r="K23" s="2377"/>
      <c r="L23" s="2377"/>
      <c r="M23" s="2377"/>
      <c r="N23" s="2377"/>
      <c r="O23" s="2377"/>
      <c r="P23" s="2378"/>
      <c r="S23" s="273"/>
      <c r="T23" s="273"/>
      <c r="U23" s="273"/>
    </row>
    <row r="24" spans="1:21" ht="30" customHeight="1" x14ac:dyDescent="0.25">
      <c r="A24" s="273"/>
      <c r="B24" s="1222" t="s">
        <v>82</v>
      </c>
      <c r="C24" s="2375" t="s">
        <v>686</v>
      </c>
      <c r="D24" s="2375"/>
      <c r="E24" s="2375"/>
      <c r="F24" s="2375"/>
      <c r="G24" s="1209"/>
      <c r="H24" s="2376"/>
      <c r="I24" s="2377"/>
      <c r="J24" s="2377"/>
      <c r="K24" s="2377"/>
      <c r="L24" s="2377"/>
      <c r="M24" s="2377"/>
      <c r="N24" s="2377"/>
      <c r="O24" s="2377"/>
      <c r="P24" s="2378"/>
      <c r="S24" s="273"/>
      <c r="T24" s="273"/>
      <c r="U24" s="273"/>
    </row>
    <row r="25" spans="1:21" ht="30" customHeight="1" x14ac:dyDescent="0.25">
      <c r="A25" s="273"/>
      <c r="B25" s="1222" t="s">
        <v>87</v>
      </c>
      <c r="C25" s="2375" t="s">
        <v>2296</v>
      </c>
      <c r="D25" s="2375"/>
      <c r="E25" s="2375" t="s">
        <v>13</v>
      </c>
      <c r="F25" s="2375"/>
      <c r="G25" s="1211"/>
      <c r="H25" s="2383"/>
      <c r="I25" s="2384"/>
      <c r="J25" s="2384"/>
      <c r="K25" s="2384"/>
      <c r="L25" s="2384"/>
      <c r="M25" s="2384"/>
      <c r="N25" s="2384"/>
      <c r="O25" s="2384"/>
      <c r="P25" s="2385"/>
      <c r="Q25" s="273"/>
      <c r="R25" s="273"/>
      <c r="S25" s="273"/>
      <c r="T25" s="273"/>
      <c r="U25" s="273"/>
    </row>
    <row r="26" spans="1:21" ht="30" customHeight="1" x14ac:dyDescent="0.25">
      <c r="A26" s="273"/>
      <c r="B26" s="1222" t="s">
        <v>92</v>
      </c>
      <c r="C26" s="2375" t="s">
        <v>2297</v>
      </c>
      <c r="D26" s="2375"/>
      <c r="E26" s="2375" t="s">
        <v>14</v>
      </c>
      <c r="F26" s="2375"/>
      <c r="G26" s="1209"/>
      <c r="H26" s="2376"/>
      <c r="I26" s="2377"/>
      <c r="J26" s="2377"/>
      <c r="K26" s="2377"/>
      <c r="L26" s="2377"/>
      <c r="M26" s="2377"/>
      <c r="N26" s="2377"/>
      <c r="O26" s="2377"/>
      <c r="P26" s="2378"/>
      <c r="Q26" s="273"/>
      <c r="R26" s="273"/>
      <c r="S26" s="273"/>
      <c r="T26" s="273"/>
      <c r="U26" s="273"/>
    </row>
    <row r="27" spans="1:21" ht="30" customHeight="1" x14ac:dyDescent="0.25">
      <c r="A27" s="273"/>
      <c r="B27" s="1222" t="s">
        <v>729</v>
      </c>
      <c r="C27" s="2375" t="s">
        <v>95</v>
      </c>
      <c r="D27" s="2375"/>
      <c r="E27" s="2375" t="s">
        <v>132</v>
      </c>
      <c r="F27" s="2375"/>
      <c r="G27" s="1211"/>
      <c r="H27" s="2383"/>
      <c r="I27" s="2384"/>
      <c r="J27" s="2384"/>
      <c r="K27" s="2384"/>
      <c r="L27" s="2384"/>
      <c r="M27" s="2384"/>
      <c r="N27" s="2384"/>
      <c r="O27" s="2384"/>
      <c r="P27" s="2385"/>
      <c r="Q27" s="273"/>
      <c r="R27" s="273"/>
      <c r="S27" s="273"/>
      <c r="T27" s="273"/>
      <c r="U27" s="273"/>
    </row>
    <row r="28" spans="1:21" ht="30" customHeight="1" x14ac:dyDescent="0.25">
      <c r="A28" s="273"/>
      <c r="B28" s="1222" t="s">
        <v>1788</v>
      </c>
      <c r="C28" s="2375" t="s">
        <v>1812</v>
      </c>
      <c r="D28" s="2375"/>
      <c r="E28" s="2375" t="s">
        <v>132</v>
      </c>
      <c r="F28" s="2375"/>
      <c r="G28" s="1212"/>
      <c r="H28" s="2376"/>
      <c r="I28" s="2377"/>
      <c r="J28" s="2377"/>
      <c r="K28" s="2377"/>
      <c r="L28" s="2377"/>
      <c r="M28" s="2377"/>
      <c r="N28" s="2377"/>
      <c r="O28" s="2377"/>
      <c r="P28" s="2378"/>
      <c r="Q28" s="273"/>
      <c r="R28" s="273"/>
      <c r="S28" s="273"/>
      <c r="T28" s="273"/>
      <c r="U28" s="273"/>
    </row>
    <row r="29" spans="1:21" ht="30" customHeight="1" x14ac:dyDescent="0.25">
      <c r="A29" s="273"/>
      <c r="B29" s="1222" t="s">
        <v>697</v>
      </c>
      <c r="C29" s="2375" t="s">
        <v>365</v>
      </c>
      <c r="D29" s="2375"/>
      <c r="E29" s="2375" t="s">
        <v>125</v>
      </c>
      <c r="F29" s="2375"/>
      <c r="G29" s="1212"/>
      <c r="H29" s="2376"/>
      <c r="I29" s="2377"/>
      <c r="J29" s="2377"/>
      <c r="K29" s="2377"/>
      <c r="L29" s="2377"/>
      <c r="M29" s="2377"/>
      <c r="N29" s="2377"/>
      <c r="O29" s="2377"/>
      <c r="P29" s="2378"/>
      <c r="Q29" s="273"/>
      <c r="R29" s="273"/>
      <c r="S29" s="273"/>
      <c r="T29" s="273"/>
      <c r="U29" s="273"/>
    </row>
    <row r="30" spans="1:21" ht="30" customHeight="1" x14ac:dyDescent="0.25">
      <c r="A30" s="273"/>
      <c r="B30" s="1223" t="s">
        <v>57</v>
      </c>
      <c r="C30" s="2375" t="s">
        <v>58</v>
      </c>
      <c r="D30" s="2375"/>
      <c r="E30" s="2375"/>
      <c r="F30" s="2375"/>
      <c r="G30" s="1209"/>
      <c r="H30" s="2376"/>
      <c r="I30" s="2377"/>
      <c r="J30" s="2377"/>
      <c r="K30" s="2377"/>
      <c r="L30" s="2377"/>
      <c r="M30" s="2377"/>
      <c r="N30" s="2377"/>
      <c r="O30" s="2377"/>
      <c r="P30" s="2378"/>
      <c r="Q30" s="273"/>
      <c r="R30" s="273"/>
      <c r="S30" s="273"/>
      <c r="T30" s="273"/>
      <c r="U30" s="273"/>
    </row>
    <row r="31" spans="1:21" ht="30" customHeight="1" x14ac:dyDescent="0.25">
      <c r="A31" s="273"/>
      <c r="B31" s="1223" t="s">
        <v>61</v>
      </c>
      <c r="C31" s="2375" t="s">
        <v>2298</v>
      </c>
      <c r="D31" s="2375"/>
      <c r="E31" s="2375"/>
      <c r="F31" s="2375"/>
      <c r="G31" s="1211"/>
      <c r="H31" s="2376"/>
      <c r="I31" s="2377"/>
      <c r="J31" s="2377"/>
      <c r="K31" s="2377"/>
      <c r="L31" s="2377"/>
      <c r="M31" s="2377"/>
      <c r="N31" s="2377"/>
      <c r="O31" s="2377"/>
      <c r="P31" s="2378"/>
      <c r="Q31" s="273"/>
      <c r="R31" s="273"/>
      <c r="S31" s="273"/>
      <c r="T31" s="273"/>
      <c r="U31" s="273"/>
    </row>
    <row r="32" spans="1:21" ht="30" customHeight="1" x14ac:dyDescent="0.25">
      <c r="A32" s="273"/>
      <c r="B32" s="1223" t="s">
        <v>65</v>
      </c>
      <c r="C32" s="2375" t="s">
        <v>127</v>
      </c>
      <c r="D32" s="2375"/>
      <c r="E32" s="2375"/>
      <c r="F32" s="2375"/>
      <c r="G32" s="1211"/>
      <c r="H32" s="1177"/>
      <c r="I32" s="1178"/>
      <c r="J32" s="1178"/>
      <c r="K32" s="1178"/>
      <c r="L32" s="1178"/>
      <c r="M32" s="1178"/>
      <c r="N32" s="1178"/>
      <c r="O32" s="1178"/>
      <c r="P32" s="1179"/>
      <c r="Q32" s="273"/>
      <c r="R32" s="273"/>
      <c r="S32" s="273"/>
      <c r="T32" s="273"/>
      <c r="U32" s="273"/>
    </row>
    <row r="33" spans="1:21" ht="30" customHeight="1" x14ac:dyDescent="0.25">
      <c r="A33" s="273"/>
      <c r="B33" s="1223" t="s">
        <v>69</v>
      </c>
      <c r="C33" s="2375" t="s">
        <v>66</v>
      </c>
      <c r="D33" s="2375"/>
      <c r="E33" s="2375"/>
      <c r="F33" s="2375"/>
      <c r="G33" s="1211"/>
      <c r="H33" s="1177"/>
      <c r="I33" s="1178"/>
      <c r="J33" s="1178"/>
      <c r="K33" s="1178"/>
      <c r="L33" s="1178"/>
      <c r="M33" s="1178"/>
      <c r="N33" s="1178"/>
      <c r="O33" s="1178"/>
      <c r="P33" s="1179"/>
      <c r="Q33" s="273"/>
      <c r="R33" s="273"/>
      <c r="S33" s="273"/>
      <c r="T33" s="273"/>
      <c r="U33" s="273"/>
    </row>
    <row r="34" spans="1:21" ht="30" customHeight="1" x14ac:dyDescent="0.25">
      <c r="A34" s="273"/>
      <c r="B34" s="1223" t="s">
        <v>73</v>
      </c>
      <c r="C34" s="2375" t="s">
        <v>133</v>
      </c>
      <c r="D34" s="2375"/>
      <c r="E34" s="2375"/>
      <c r="F34" s="2375"/>
      <c r="G34" s="1211"/>
      <c r="H34" s="1177"/>
      <c r="I34" s="1178"/>
      <c r="J34" s="1178"/>
      <c r="K34" s="1178"/>
      <c r="L34" s="1178"/>
      <c r="M34" s="1178"/>
      <c r="N34" s="1178"/>
      <c r="O34" s="1178"/>
      <c r="P34" s="1179"/>
      <c r="Q34" s="273"/>
      <c r="R34" s="273"/>
      <c r="S34" s="273"/>
      <c r="T34" s="273"/>
      <c r="U34" s="273"/>
    </row>
    <row r="35" spans="1:21" ht="30" customHeight="1" x14ac:dyDescent="0.25">
      <c r="A35" s="273"/>
      <c r="B35" s="1223" t="s">
        <v>77</v>
      </c>
      <c r="C35" s="2375" t="s">
        <v>234</v>
      </c>
      <c r="D35" s="2375"/>
      <c r="E35" s="2375"/>
      <c r="F35" s="2375"/>
      <c r="G35" s="1211"/>
      <c r="H35" s="1177"/>
      <c r="I35" s="1178"/>
      <c r="J35" s="1178"/>
      <c r="K35" s="1178"/>
      <c r="L35" s="1178"/>
      <c r="M35" s="1178"/>
      <c r="N35" s="1178"/>
      <c r="O35" s="1178"/>
      <c r="P35" s="1179"/>
      <c r="Q35" s="273"/>
      <c r="R35" s="273"/>
      <c r="S35" s="273"/>
      <c r="T35" s="273"/>
      <c r="U35" s="273"/>
    </row>
    <row r="36" spans="1:21" ht="30" customHeight="1" x14ac:dyDescent="0.25">
      <c r="A36" s="273"/>
      <c r="B36" s="1223" t="s">
        <v>126</v>
      </c>
      <c r="C36" s="2375" t="s">
        <v>100</v>
      </c>
      <c r="D36" s="2375"/>
      <c r="E36" s="2375"/>
      <c r="F36" s="2375"/>
      <c r="G36" s="1209"/>
      <c r="H36" s="2376"/>
      <c r="I36" s="2377"/>
      <c r="J36" s="2377"/>
      <c r="K36" s="2377"/>
      <c r="L36" s="2377"/>
      <c r="M36" s="2377"/>
      <c r="N36" s="2377"/>
      <c r="O36" s="2377"/>
      <c r="P36" s="2378"/>
      <c r="Q36" s="273"/>
      <c r="R36" s="273"/>
      <c r="S36" s="273"/>
      <c r="T36" s="273"/>
      <c r="U36" s="273"/>
    </row>
    <row r="37" spans="1:21" ht="30" customHeight="1" x14ac:dyDescent="0.25">
      <c r="A37" s="273"/>
      <c r="B37" s="1223" t="s">
        <v>155</v>
      </c>
      <c r="C37" s="2375" t="s">
        <v>2061</v>
      </c>
      <c r="D37" s="2375"/>
      <c r="E37" s="2375"/>
      <c r="F37" s="2375"/>
      <c r="G37" s="1211"/>
      <c r="H37" s="2383"/>
      <c r="I37" s="2384"/>
      <c r="J37" s="2384"/>
      <c r="K37" s="2384"/>
      <c r="L37" s="2384"/>
      <c r="M37" s="2384"/>
      <c r="N37" s="2384"/>
      <c r="O37" s="2384"/>
      <c r="P37" s="2385"/>
      <c r="Q37" s="273"/>
      <c r="R37" s="273"/>
      <c r="S37" s="273"/>
      <c r="T37" s="273"/>
      <c r="U37" s="273"/>
    </row>
    <row r="38" spans="1:21" ht="30" customHeight="1" x14ac:dyDescent="0.25">
      <c r="A38" s="273"/>
      <c r="B38" s="1224" t="s">
        <v>139</v>
      </c>
      <c r="C38" s="2375" t="s">
        <v>101</v>
      </c>
      <c r="D38" s="2375"/>
      <c r="E38" s="2375"/>
      <c r="F38" s="2375"/>
      <c r="G38" s="1211"/>
      <c r="H38" s="2383"/>
      <c r="I38" s="2384"/>
      <c r="J38" s="2384"/>
      <c r="K38" s="2384"/>
      <c r="L38" s="2384"/>
      <c r="M38" s="2384"/>
      <c r="N38" s="2384"/>
      <c r="O38" s="2384"/>
      <c r="P38" s="2385"/>
      <c r="Q38" s="273"/>
      <c r="R38" s="273"/>
      <c r="S38" s="273"/>
      <c r="T38" s="273"/>
      <c r="U38" s="273"/>
    </row>
    <row r="39" spans="1:21" ht="30" customHeight="1" x14ac:dyDescent="0.25">
      <c r="A39" s="273"/>
      <c r="B39" s="1224" t="s">
        <v>140</v>
      </c>
      <c r="C39" s="2375" t="s">
        <v>89</v>
      </c>
      <c r="D39" s="2375"/>
      <c r="E39" s="2375"/>
      <c r="F39" s="2375"/>
      <c r="G39" s="1209"/>
      <c r="H39" s="2376"/>
      <c r="I39" s="2377"/>
      <c r="J39" s="2377"/>
      <c r="K39" s="2377"/>
      <c r="L39" s="2377"/>
      <c r="M39" s="2377"/>
      <c r="N39" s="2377"/>
      <c r="O39" s="2377"/>
      <c r="P39" s="2378"/>
      <c r="Q39" s="273"/>
      <c r="R39" s="273"/>
      <c r="S39" s="273"/>
      <c r="T39" s="273"/>
      <c r="U39" s="273"/>
    </row>
    <row r="40" spans="1:21" ht="30" customHeight="1" x14ac:dyDescent="0.25">
      <c r="A40" s="273"/>
      <c r="B40" s="1224" t="s">
        <v>141</v>
      </c>
      <c r="C40" s="2375" t="s">
        <v>93</v>
      </c>
      <c r="D40" s="2375"/>
      <c r="E40" s="2375"/>
      <c r="F40" s="2375"/>
      <c r="G40" s="1211"/>
      <c r="H40" s="2383"/>
      <c r="I40" s="2384"/>
      <c r="J40" s="2384"/>
      <c r="K40" s="2384"/>
      <c r="L40" s="2384"/>
      <c r="M40" s="2384"/>
      <c r="N40" s="2384"/>
      <c r="O40" s="2384"/>
      <c r="P40" s="2385"/>
      <c r="Q40" s="273"/>
      <c r="R40" s="273"/>
      <c r="S40" s="273"/>
      <c r="T40" s="273"/>
      <c r="U40" s="273"/>
    </row>
    <row r="41" spans="1:21" ht="30" customHeight="1" x14ac:dyDescent="0.25">
      <c r="A41" s="273"/>
      <c r="B41" s="1224" t="s">
        <v>1813</v>
      </c>
      <c r="C41" s="2375" t="s">
        <v>1814</v>
      </c>
      <c r="D41" s="2375"/>
      <c r="E41" s="2375"/>
      <c r="F41" s="2375"/>
      <c r="G41" s="1211"/>
      <c r="H41" s="2383"/>
      <c r="I41" s="2384"/>
      <c r="J41" s="2384"/>
      <c r="K41" s="2384"/>
      <c r="L41" s="2384"/>
      <c r="M41" s="2384"/>
      <c r="N41" s="2384"/>
      <c r="O41" s="2384"/>
      <c r="P41" s="2385"/>
      <c r="Q41" s="273"/>
      <c r="R41" s="273"/>
      <c r="S41" s="273"/>
      <c r="T41" s="273"/>
      <c r="U41" s="273"/>
    </row>
    <row r="42" spans="1:21" ht="30" customHeight="1" x14ac:dyDescent="0.25">
      <c r="A42" s="273"/>
      <c r="B42" s="1224" t="s">
        <v>699</v>
      </c>
      <c r="C42" s="2375" t="s">
        <v>365</v>
      </c>
      <c r="D42" s="2375"/>
      <c r="E42" s="2375" t="s">
        <v>125</v>
      </c>
      <c r="F42" s="2375"/>
      <c r="G42" s="1209"/>
      <c r="H42" s="2376"/>
      <c r="I42" s="2377"/>
      <c r="J42" s="2377"/>
      <c r="K42" s="2377"/>
      <c r="L42" s="2377"/>
      <c r="M42" s="2377"/>
      <c r="N42" s="2377"/>
      <c r="O42" s="2377"/>
      <c r="P42" s="2378"/>
      <c r="Q42" s="273"/>
      <c r="R42" s="273"/>
      <c r="S42" s="273"/>
      <c r="T42" s="273"/>
      <c r="U42" s="273"/>
    </row>
    <row r="43" spans="1:21" ht="30" customHeight="1" x14ac:dyDescent="0.25">
      <c r="A43" s="1219"/>
      <c r="B43" s="1225" t="s">
        <v>102</v>
      </c>
      <c r="C43" s="2375" t="s">
        <v>688</v>
      </c>
      <c r="D43" s="2375"/>
      <c r="E43" s="2375"/>
      <c r="F43" s="2375"/>
      <c r="G43" s="1216"/>
      <c r="H43" s="2383"/>
      <c r="I43" s="2384"/>
      <c r="J43" s="2384"/>
      <c r="K43" s="2384"/>
      <c r="L43" s="2384"/>
      <c r="M43" s="2384"/>
      <c r="N43" s="2384"/>
      <c r="O43" s="2384"/>
      <c r="P43" s="2385"/>
      <c r="Q43" s="273"/>
      <c r="R43" s="273"/>
      <c r="S43" s="273"/>
      <c r="T43" s="273"/>
      <c r="U43" s="273"/>
    </row>
    <row r="44" spans="1:21" ht="30" customHeight="1" x14ac:dyDescent="0.25">
      <c r="A44" s="273"/>
      <c r="B44" s="1225" t="s">
        <v>103</v>
      </c>
      <c r="C44" s="2375" t="s">
        <v>689</v>
      </c>
      <c r="D44" s="2375"/>
      <c r="E44" s="2375"/>
      <c r="F44" s="2375"/>
      <c r="G44" s="1212"/>
      <c r="H44" s="2376"/>
      <c r="I44" s="2377"/>
      <c r="J44" s="2377"/>
      <c r="K44" s="2377"/>
      <c r="L44" s="2377"/>
      <c r="M44" s="2377"/>
      <c r="N44" s="2377"/>
      <c r="O44" s="2377"/>
      <c r="P44" s="2378"/>
      <c r="Q44" s="273"/>
      <c r="R44" s="273"/>
      <c r="S44" s="273"/>
      <c r="T44" s="273"/>
      <c r="U44" s="273"/>
    </row>
    <row r="45" spans="1:21" ht="30" customHeight="1" x14ac:dyDescent="0.25">
      <c r="A45" s="273"/>
      <c r="B45" s="1217"/>
      <c r="C45" s="273"/>
      <c r="D45" s="273"/>
      <c r="E45" s="273"/>
      <c r="F45" s="273"/>
      <c r="G45" s="1218">
        <f>SUM(G6:G44)</f>
        <v>0</v>
      </c>
      <c r="H45" s="273"/>
      <c r="I45" s="273"/>
      <c r="J45" s="273"/>
      <c r="K45" s="273"/>
      <c r="L45" s="273"/>
      <c r="M45" s="273"/>
      <c r="N45" s="273"/>
      <c r="O45" s="273"/>
      <c r="P45" s="273"/>
      <c r="Q45" s="273"/>
      <c r="R45" s="273"/>
      <c r="S45" s="273"/>
      <c r="T45" s="273"/>
      <c r="U45" s="273"/>
    </row>
    <row r="46" spans="1:21" ht="18.75" customHeight="1" x14ac:dyDescent="0.25">
      <c r="A46" s="273"/>
      <c r="B46" s="1217"/>
      <c r="C46" s="273"/>
      <c r="D46" s="273"/>
      <c r="E46" s="273"/>
      <c r="F46" s="273"/>
      <c r="G46" s="273"/>
      <c r="H46" s="273"/>
      <c r="I46" s="273"/>
      <c r="J46" s="273"/>
      <c r="K46" s="273"/>
      <c r="L46" s="273"/>
      <c r="M46" s="273"/>
      <c r="N46" s="273"/>
      <c r="O46" s="273"/>
      <c r="P46" s="273"/>
      <c r="Q46" s="273"/>
      <c r="R46" s="273"/>
      <c r="S46" s="273"/>
      <c r="T46" s="273"/>
      <c r="U46" s="273"/>
    </row>
    <row r="47" spans="1:21" ht="15.75" hidden="1" x14ac:dyDescent="0.25">
      <c r="B47" s="1217"/>
      <c r="C47" s="273"/>
      <c r="D47" s="273"/>
      <c r="E47" s="273"/>
      <c r="F47" s="273"/>
      <c r="G47" s="273"/>
      <c r="H47" s="273"/>
      <c r="I47" s="273"/>
      <c r="J47" s="273"/>
      <c r="K47" s="273"/>
      <c r="L47" s="273"/>
      <c r="M47" s="273"/>
      <c r="N47" s="273"/>
      <c r="O47" s="273"/>
      <c r="P47" s="273"/>
      <c r="Q47" s="273"/>
      <c r="R47" s="273"/>
      <c r="S47" s="273"/>
      <c r="T47" s="273"/>
      <c r="U47" s="273"/>
    </row>
    <row r="48" spans="1:21" ht="15.75" hidden="1" x14ac:dyDescent="0.25">
      <c r="B48" s="1217"/>
      <c r="C48" s="273"/>
      <c r="D48" s="273"/>
      <c r="E48" s="273"/>
      <c r="F48" s="273"/>
      <c r="G48" s="273"/>
      <c r="H48" s="273"/>
      <c r="I48" s="273"/>
      <c r="J48" s="273"/>
      <c r="K48" s="273"/>
      <c r="L48" s="273"/>
      <c r="M48" s="273"/>
      <c r="N48" s="273"/>
      <c r="O48" s="273"/>
      <c r="P48" s="273"/>
      <c r="Q48" s="273"/>
      <c r="R48" s="273"/>
      <c r="S48" s="273"/>
      <c r="T48" s="273"/>
      <c r="U48" s="273"/>
    </row>
    <row r="49" spans="2:21" ht="15.75" hidden="1" x14ac:dyDescent="0.25">
      <c r="B49" s="1217"/>
      <c r="C49" s="273"/>
      <c r="D49" s="273"/>
      <c r="E49" s="273"/>
      <c r="F49" s="273"/>
      <c r="G49" s="273"/>
      <c r="H49" s="273"/>
      <c r="I49" s="273"/>
      <c r="J49" s="273"/>
      <c r="K49" s="273"/>
      <c r="L49" s="273"/>
      <c r="M49" s="273"/>
      <c r="N49" s="273"/>
      <c r="O49" s="273"/>
      <c r="P49" s="273"/>
      <c r="Q49" s="273"/>
      <c r="R49" s="273"/>
      <c r="S49" s="273"/>
      <c r="T49" s="273"/>
      <c r="U49" s="273"/>
    </row>
    <row r="50" spans="2:21" ht="15.75" hidden="1" x14ac:dyDescent="0.25">
      <c r="B50" s="1217"/>
      <c r="C50" s="273"/>
      <c r="D50" s="273"/>
      <c r="E50" s="273"/>
      <c r="F50" s="273"/>
      <c r="G50" s="273"/>
      <c r="H50" s="273"/>
      <c r="I50" s="273"/>
      <c r="J50" s="273"/>
      <c r="K50" s="273"/>
      <c r="L50" s="273"/>
      <c r="M50" s="273"/>
      <c r="N50" s="273"/>
      <c r="O50" s="273"/>
      <c r="P50" s="273"/>
      <c r="Q50" s="273"/>
      <c r="R50" s="273"/>
      <c r="S50" s="273"/>
      <c r="T50" s="273"/>
      <c r="U50" s="273"/>
    </row>
    <row r="51" spans="2:21" ht="15.75" hidden="1" x14ac:dyDescent="0.25">
      <c r="B51" s="1217"/>
      <c r="C51" s="273"/>
      <c r="D51" s="273"/>
      <c r="E51" s="273"/>
      <c r="F51" s="273"/>
      <c r="G51" s="273"/>
      <c r="H51" s="273"/>
      <c r="I51" s="273"/>
      <c r="J51" s="273"/>
      <c r="K51" s="273"/>
      <c r="L51" s="273"/>
      <c r="M51" s="273"/>
      <c r="N51" s="273"/>
      <c r="O51" s="273"/>
      <c r="P51" s="273"/>
      <c r="Q51" s="273"/>
      <c r="R51" s="273"/>
      <c r="S51" s="273"/>
      <c r="T51" s="273"/>
      <c r="U51" s="273"/>
    </row>
    <row r="52" spans="2:21" ht="15.75" hidden="1" x14ac:dyDescent="0.25">
      <c r="B52" s="1217"/>
      <c r="C52" s="273"/>
      <c r="D52" s="273"/>
      <c r="E52" s="273"/>
      <c r="F52" s="273"/>
      <c r="G52" s="273"/>
      <c r="H52" s="273"/>
      <c r="I52" s="273"/>
      <c r="J52" s="273"/>
      <c r="K52" s="273"/>
      <c r="L52" s="273"/>
      <c r="M52" s="273"/>
      <c r="N52" s="273"/>
      <c r="O52" s="273"/>
      <c r="P52" s="273"/>
      <c r="Q52" s="273"/>
      <c r="R52" s="273"/>
      <c r="S52" s="273"/>
      <c r="T52" s="273"/>
      <c r="U52" s="273"/>
    </row>
    <row r="53" spans="2:21" ht="15.75" hidden="1" x14ac:dyDescent="0.25">
      <c r="B53" s="1217"/>
      <c r="C53" s="273"/>
      <c r="D53" s="273"/>
      <c r="E53" s="273"/>
      <c r="F53" s="273"/>
      <c r="G53" s="273"/>
      <c r="H53" s="273"/>
      <c r="I53" s="273"/>
      <c r="J53" s="273"/>
      <c r="K53" s="273"/>
      <c r="L53" s="273"/>
      <c r="M53" s="273"/>
      <c r="N53" s="273"/>
      <c r="O53" s="273"/>
      <c r="P53" s="273"/>
      <c r="Q53" s="273"/>
      <c r="R53" s="273"/>
      <c r="S53" s="273"/>
      <c r="T53" s="273"/>
      <c r="U53" s="273"/>
    </row>
    <row r="54" spans="2:21" ht="15.75" hidden="1" x14ac:dyDescent="0.25">
      <c r="B54" s="1217"/>
      <c r="C54" s="273"/>
      <c r="D54" s="273"/>
      <c r="E54" s="273"/>
      <c r="F54" s="273"/>
      <c r="G54" s="273"/>
      <c r="H54" s="273"/>
      <c r="I54" s="273"/>
      <c r="J54" s="273"/>
      <c r="K54" s="273"/>
      <c r="L54" s="273"/>
      <c r="M54" s="273"/>
      <c r="N54" s="273"/>
      <c r="O54" s="273"/>
      <c r="P54" s="273"/>
      <c r="Q54" s="273"/>
      <c r="R54" s="273"/>
      <c r="S54" s="273"/>
      <c r="T54" s="273"/>
      <c r="U54" s="273"/>
    </row>
    <row r="55" spans="2:21" ht="15.75" hidden="1" x14ac:dyDescent="0.25">
      <c r="B55" s="1217"/>
      <c r="C55" s="273"/>
      <c r="D55" s="273"/>
      <c r="E55" s="273"/>
      <c r="F55" s="273"/>
      <c r="G55" s="273"/>
      <c r="H55" s="273"/>
      <c r="I55" s="273"/>
      <c r="J55" s="273"/>
      <c r="K55" s="273"/>
      <c r="L55" s="273"/>
      <c r="M55" s="273"/>
      <c r="N55" s="273"/>
      <c r="O55" s="273"/>
      <c r="P55" s="273"/>
      <c r="Q55" s="273"/>
      <c r="R55" s="273"/>
      <c r="S55" s="273"/>
      <c r="T55" s="273"/>
      <c r="U55" s="273"/>
    </row>
    <row r="56" spans="2:21" ht="15.75" hidden="1" x14ac:dyDescent="0.25">
      <c r="B56" s="1217"/>
      <c r="C56" s="273"/>
      <c r="D56" s="273"/>
      <c r="E56" s="273"/>
      <c r="F56" s="273"/>
      <c r="G56" s="273"/>
      <c r="H56" s="273"/>
      <c r="I56" s="273"/>
      <c r="J56" s="273"/>
      <c r="K56" s="273"/>
      <c r="L56" s="273"/>
      <c r="M56" s="273"/>
      <c r="N56" s="273"/>
      <c r="O56" s="273"/>
      <c r="P56" s="273"/>
      <c r="Q56" s="273"/>
      <c r="R56" s="273"/>
      <c r="S56" s="273"/>
      <c r="T56" s="273"/>
      <c r="U56" s="273"/>
    </row>
    <row r="57" spans="2:21" ht="15.75" hidden="1" x14ac:dyDescent="0.25">
      <c r="B57" s="1217"/>
      <c r="C57" s="273"/>
      <c r="D57" s="273"/>
      <c r="E57" s="273"/>
      <c r="F57" s="273"/>
      <c r="G57" s="273"/>
      <c r="H57" s="273"/>
      <c r="I57" s="273"/>
      <c r="J57" s="273"/>
      <c r="K57" s="273"/>
      <c r="L57" s="273"/>
      <c r="M57" s="273"/>
      <c r="N57" s="273"/>
      <c r="O57" s="273"/>
      <c r="P57" s="273"/>
      <c r="Q57" s="273"/>
      <c r="R57" s="273"/>
      <c r="S57" s="273"/>
      <c r="T57" s="273"/>
      <c r="U57" s="273"/>
    </row>
    <row r="58" spans="2:21" ht="15.75" hidden="1" x14ac:dyDescent="0.25">
      <c r="B58" s="1217"/>
      <c r="C58" s="273"/>
      <c r="D58" s="273"/>
      <c r="E58" s="273"/>
      <c r="F58" s="273"/>
      <c r="G58" s="273"/>
      <c r="H58" s="273"/>
      <c r="I58" s="273"/>
      <c r="J58" s="273"/>
      <c r="K58" s="273"/>
      <c r="L58" s="273"/>
      <c r="M58" s="273"/>
      <c r="N58" s="273"/>
      <c r="O58" s="273"/>
      <c r="P58" s="273"/>
      <c r="Q58" s="273"/>
      <c r="R58" s="273"/>
      <c r="S58" s="273"/>
      <c r="T58" s="273"/>
      <c r="U58" s="273"/>
    </row>
    <row r="59" spans="2:21" ht="15.75" hidden="1" x14ac:dyDescent="0.25">
      <c r="B59" s="1217"/>
      <c r="C59" s="273"/>
      <c r="D59" s="273"/>
      <c r="E59" s="273"/>
      <c r="F59" s="273"/>
      <c r="G59" s="273"/>
      <c r="H59" s="273"/>
      <c r="I59" s="273"/>
      <c r="J59" s="273"/>
      <c r="K59" s="273"/>
      <c r="L59" s="273"/>
      <c r="M59" s="273"/>
      <c r="N59" s="273"/>
      <c r="O59" s="273"/>
      <c r="P59" s="273"/>
      <c r="Q59" s="273"/>
      <c r="R59" s="273"/>
      <c r="S59" s="273"/>
      <c r="T59" s="273"/>
      <c r="U59" s="273"/>
    </row>
    <row r="60" spans="2:21" ht="15.75" hidden="1" x14ac:dyDescent="0.25">
      <c r="B60" s="1217"/>
      <c r="C60" s="273"/>
      <c r="D60" s="273"/>
      <c r="E60" s="273"/>
      <c r="F60" s="273"/>
      <c r="G60" s="273"/>
      <c r="H60" s="273"/>
      <c r="I60" s="273"/>
      <c r="J60" s="273"/>
      <c r="K60" s="273"/>
      <c r="L60" s="273"/>
      <c r="M60" s="273"/>
      <c r="N60" s="273"/>
      <c r="O60" s="273"/>
      <c r="P60" s="273"/>
      <c r="Q60" s="273"/>
      <c r="R60" s="273"/>
      <c r="S60" s="273"/>
      <c r="T60" s="273"/>
      <c r="U60" s="273"/>
    </row>
    <row r="61" spans="2:21" ht="15.75" hidden="1" x14ac:dyDescent="0.25">
      <c r="B61" s="1217"/>
      <c r="C61" s="273"/>
      <c r="D61" s="273"/>
      <c r="E61" s="273"/>
      <c r="F61" s="273"/>
      <c r="G61" s="273"/>
      <c r="H61" s="273"/>
      <c r="I61" s="273"/>
      <c r="J61" s="273"/>
      <c r="K61" s="273"/>
      <c r="L61" s="273"/>
      <c r="M61" s="273"/>
      <c r="N61" s="273"/>
      <c r="O61" s="273"/>
      <c r="P61" s="273"/>
      <c r="Q61" s="273"/>
      <c r="R61" s="273"/>
      <c r="S61" s="273"/>
      <c r="T61" s="273"/>
      <c r="U61" s="273"/>
    </row>
    <row r="62" spans="2:21" ht="15.75" hidden="1" x14ac:dyDescent="0.25">
      <c r="B62" s="1217"/>
      <c r="C62" s="273"/>
      <c r="D62" s="273"/>
      <c r="E62" s="273"/>
      <c r="F62" s="273"/>
      <c r="G62" s="273"/>
      <c r="H62" s="273"/>
      <c r="I62" s="273"/>
      <c r="J62" s="273"/>
      <c r="K62" s="273"/>
      <c r="L62" s="273"/>
      <c r="M62" s="273"/>
      <c r="N62" s="273"/>
      <c r="O62" s="273"/>
      <c r="P62" s="273"/>
      <c r="Q62" s="273"/>
      <c r="R62" s="273"/>
      <c r="S62" s="273"/>
      <c r="T62" s="273"/>
      <c r="U62" s="273"/>
    </row>
    <row r="63" spans="2:21" ht="15.75" hidden="1" x14ac:dyDescent="0.25">
      <c r="B63" s="1217"/>
      <c r="C63" s="273"/>
      <c r="D63" s="273"/>
      <c r="E63" s="273"/>
      <c r="F63" s="273"/>
      <c r="G63" s="273"/>
      <c r="H63" s="273"/>
      <c r="I63" s="273"/>
      <c r="J63" s="273"/>
      <c r="K63" s="273"/>
      <c r="L63" s="273"/>
      <c r="M63" s="273"/>
      <c r="N63" s="273"/>
      <c r="O63" s="273"/>
      <c r="P63" s="273"/>
      <c r="Q63" s="273"/>
      <c r="R63" s="273"/>
      <c r="S63" s="273"/>
      <c r="T63" s="273"/>
      <c r="U63" s="273"/>
    </row>
    <row r="64" spans="2:21" ht="15.75" hidden="1" x14ac:dyDescent="0.25">
      <c r="B64" s="1217"/>
      <c r="C64" s="273"/>
      <c r="D64" s="273"/>
      <c r="E64" s="273"/>
      <c r="F64" s="273"/>
      <c r="G64" s="273"/>
      <c r="H64" s="273"/>
      <c r="I64" s="273"/>
      <c r="J64" s="273"/>
      <c r="K64" s="273"/>
      <c r="L64" s="273"/>
      <c r="M64" s="273"/>
      <c r="N64" s="273"/>
      <c r="O64" s="273"/>
      <c r="P64" s="273"/>
      <c r="Q64" s="273"/>
      <c r="R64" s="273"/>
      <c r="S64" s="273"/>
      <c r="T64" s="273"/>
      <c r="U64" s="273"/>
    </row>
    <row r="65" spans="2:21" ht="15.75" hidden="1" x14ac:dyDescent="0.25">
      <c r="B65" s="1217"/>
      <c r="C65" s="273"/>
      <c r="D65" s="273"/>
      <c r="E65" s="273"/>
      <c r="F65" s="273"/>
      <c r="G65" s="273"/>
      <c r="H65" s="273"/>
      <c r="I65" s="273"/>
      <c r="J65" s="273"/>
      <c r="K65" s="273"/>
      <c r="L65" s="273"/>
      <c r="M65" s="273"/>
      <c r="N65" s="273"/>
      <c r="O65" s="273"/>
      <c r="P65" s="273"/>
      <c r="Q65" s="273"/>
      <c r="R65" s="273"/>
      <c r="S65" s="273"/>
      <c r="T65" s="273"/>
      <c r="U65" s="273"/>
    </row>
    <row r="66" spans="2:21" ht="15.75" hidden="1" x14ac:dyDescent="0.25">
      <c r="B66" s="1217"/>
      <c r="C66" s="273"/>
      <c r="D66" s="273"/>
      <c r="E66" s="273"/>
      <c r="F66" s="273"/>
      <c r="G66" s="273"/>
      <c r="H66" s="273"/>
      <c r="I66" s="273"/>
      <c r="J66" s="273"/>
      <c r="K66" s="273"/>
      <c r="L66" s="273"/>
      <c r="M66" s="273"/>
      <c r="N66" s="273"/>
      <c r="O66" s="273"/>
      <c r="P66" s="273"/>
      <c r="Q66" s="273"/>
      <c r="R66" s="273"/>
      <c r="S66" s="273"/>
      <c r="T66" s="273"/>
      <c r="U66" s="273"/>
    </row>
    <row r="67" spans="2:21" ht="15.75" hidden="1" x14ac:dyDescent="0.25">
      <c r="B67" s="1217"/>
      <c r="C67" s="273"/>
      <c r="D67" s="273"/>
      <c r="E67" s="273"/>
      <c r="F67" s="273"/>
      <c r="G67" s="273"/>
      <c r="H67" s="273"/>
      <c r="I67" s="273"/>
      <c r="J67" s="273"/>
      <c r="K67" s="273"/>
      <c r="L67" s="273"/>
      <c r="M67" s="273"/>
      <c r="N67" s="273"/>
      <c r="O67" s="273"/>
      <c r="P67" s="273"/>
      <c r="Q67" s="273"/>
      <c r="R67" s="273"/>
      <c r="S67" s="273"/>
      <c r="T67" s="273"/>
      <c r="U67" s="273"/>
    </row>
    <row r="68" spans="2:21" ht="15.75" hidden="1" x14ac:dyDescent="0.25">
      <c r="B68" s="1217"/>
      <c r="C68" s="273"/>
      <c r="D68" s="273"/>
      <c r="E68" s="273"/>
      <c r="F68" s="273"/>
      <c r="G68" s="273"/>
      <c r="H68" s="273"/>
      <c r="I68" s="273"/>
      <c r="J68" s="273"/>
      <c r="K68" s="273"/>
      <c r="L68" s="273"/>
      <c r="M68" s="273"/>
      <c r="N68" s="273"/>
      <c r="O68" s="273"/>
      <c r="P68" s="273"/>
      <c r="Q68" s="273"/>
      <c r="R68" s="273"/>
      <c r="S68" s="273"/>
      <c r="T68" s="273"/>
      <c r="U68" s="273"/>
    </row>
    <row r="69" spans="2:21" ht="15.75" hidden="1" x14ac:dyDescent="0.25">
      <c r="B69" s="1217"/>
      <c r="C69" s="273"/>
      <c r="D69" s="273"/>
      <c r="E69" s="273"/>
      <c r="F69" s="273"/>
      <c r="G69" s="273"/>
      <c r="H69" s="273"/>
      <c r="I69" s="273"/>
      <c r="J69" s="273"/>
      <c r="K69" s="273"/>
      <c r="L69" s="273"/>
      <c r="M69" s="273"/>
      <c r="N69" s="273"/>
      <c r="O69" s="273"/>
      <c r="P69" s="273"/>
      <c r="Q69" s="273"/>
      <c r="R69" s="273"/>
      <c r="S69" s="273"/>
      <c r="T69" s="273"/>
      <c r="U69" s="273"/>
    </row>
    <row r="70" spans="2:21" ht="15.75" hidden="1" x14ac:dyDescent="0.25">
      <c r="B70" s="1217"/>
      <c r="C70" s="273"/>
      <c r="D70" s="273"/>
      <c r="E70" s="273"/>
      <c r="F70" s="273"/>
      <c r="G70" s="273"/>
      <c r="H70" s="273"/>
      <c r="I70" s="273"/>
      <c r="J70" s="273"/>
      <c r="K70" s="273"/>
      <c r="L70" s="273"/>
      <c r="M70" s="273"/>
      <c r="N70" s="273"/>
      <c r="O70" s="273"/>
      <c r="P70" s="273"/>
      <c r="Q70" s="273"/>
      <c r="R70" s="273"/>
      <c r="S70" s="273"/>
      <c r="T70" s="273"/>
      <c r="U70" s="273"/>
    </row>
    <row r="71" spans="2:21" ht="15.75" hidden="1" x14ac:dyDescent="0.25">
      <c r="B71" s="1217"/>
      <c r="C71" s="273"/>
      <c r="D71" s="273"/>
      <c r="E71" s="273"/>
      <c r="F71" s="273"/>
      <c r="G71" s="273"/>
      <c r="H71" s="273"/>
      <c r="I71" s="273"/>
      <c r="J71" s="273"/>
      <c r="K71" s="273"/>
      <c r="L71" s="273"/>
      <c r="M71" s="273"/>
      <c r="N71" s="273"/>
      <c r="O71" s="273"/>
      <c r="P71" s="273"/>
      <c r="Q71" s="273"/>
      <c r="R71" s="273"/>
      <c r="S71" s="273"/>
      <c r="T71" s="273"/>
      <c r="U71" s="273"/>
    </row>
    <row r="72" spans="2:21" ht="15.75" hidden="1" x14ac:dyDescent="0.25">
      <c r="B72" s="1217"/>
      <c r="C72" s="273"/>
      <c r="D72" s="273"/>
      <c r="E72" s="273"/>
      <c r="F72" s="273"/>
      <c r="G72" s="273"/>
      <c r="H72" s="273"/>
      <c r="I72" s="273"/>
      <c r="J72" s="273"/>
      <c r="K72" s="273"/>
      <c r="L72" s="273"/>
      <c r="M72" s="273"/>
      <c r="N72" s="273"/>
      <c r="O72" s="273"/>
      <c r="P72" s="273"/>
      <c r="Q72" s="273"/>
      <c r="R72" s="273"/>
      <c r="S72" s="273"/>
      <c r="T72" s="273"/>
      <c r="U72" s="273"/>
    </row>
    <row r="73" spans="2:21" ht="15.75" hidden="1" x14ac:dyDescent="0.25">
      <c r="B73" s="1217"/>
      <c r="C73" s="273"/>
      <c r="D73" s="273"/>
      <c r="E73" s="273"/>
      <c r="F73" s="273"/>
      <c r="G73" s="273"/>
      <c r="H73" s="273"/>
      <c r="I73" s="273"/>
      <c r="J73" s="273"/>
      <c r="K73" s="273"/>
      <c r="L73" s="273"/>
      <c r="M73" s="273"/>
      <c r="N73" s="273"/>
      <c r="O73" s="273"/>
      <c r="P73" s="273"/>
      <c r="Q73" s="273"/>
      <c r="R73" s="273"/>
      <c r="S73" s="273"/>
      <c r="T73" s="273"/>
      <c r="U73" s="273"/>
    </row>
    <row r="74" spans="2:21" ht="15.75" hidden="1" x14ac:dyDescent="0.25">
      <c r="B74" s="1217"/>
      <c r="C74" s="273"/>
      <c r="D74" s="273"/>
      <c r="E74" s="273"/>
      <c r="F74" s="273"/>
      <c r="G74" s="273"/>
      <c r="H74" s="273"/>
      <c r="I74" s="273"/>
      <c r="J74" s="273"/>
      <c r="K74" s="273"/>
      <c r="L74" s="273"/>
      <c r="M74" s="273"/>
      <c r="N74" s="273"/>
      <c r="O74" s="273"/>
      <c r="P74" s="273"/>
      <c r="Q74" s="273"/>
      <c r="R74" s="273"/>
      <c r="S74" s="273"/>
      <c r="T74" s="273"/>
      <c r="U74" s="273"/>
    </row>
    <row r="75" spans="2:21" ht="15.75" hidden="1" x14ac:dyDescent="0.25">
      <c r="B75" s="1217"/>
      <c r="C75" s="273"/>
      <c r="D75" s="273"/>
      <c r="E75" s="273"/>
      <c r="F75" s="273"/>
      <c r="G75" s="273"/>
      <c r="H75" s="273"/>
      <c r="I75" s="273"/>
      <c r="J75" s="273"/>
      <c r="K75" s="273"/>
      <c r="L75" s="273"/>
      <c r="M75" s="273"/>
      <c r="N75" s="273"/>
      <c r="O75" s="273"/>
      <c r="P75" s="273"/>
      <c r="Q75" s="273"/>
      <c r="R75" s="273"/>
      <c r="S75" s="273"/>
      <c r="T75" s="273"/>
      <c r="U75" s="273"/>
    </row>
    <row r="76" spans="2:21" ht="15.75" hidden="1" x14ac:dyDescent="0.25">
      <c r="B76" s="1217"/>
      <c r="C76" s="273"/>
      <c r="D76" s="273"/>
      <c r="E76" s="273"/>
      <c r="F76" s="273"/>
      <c r="G76" s="273"/>
      <c r="H76" s="273"/>
      <c r="I76" s="273"/>
      <c r="J76" s="273"/>
      <c r="K76" s="273"/>
      <c r="L76" s="273"/>
      <c r="M76" s="273"/>
      <c r="N76" s="273"/>
      <c r="O76" s="273"/>
      <c r="P76" s="273"/>
      <c r="Q76" s="273"/>
      <c r="R76" s="273"/>
      <c r="S76" s="273"/>
      <c r="T76" s="273"/>
      <c r="U76" s="273"/>
    </row>
    <row r="77" spans="2:21" ht="15.75" hidden="1" x14ac:dyDescent="0.25">
      <c r="B77" s="1217"/>
      <c r="C77" s="273"/>
      <c r="D77" s="273"/>
      <c r="E77" s="273"/>
      <c r="F77" s="273"/>
      <c r="G77" s="273"/>
      <c r="H77" s="273"/>
      <c r="I77" s="273"/>
      <c r="J77" s="273"/>
      <c r="K77" s="273"/>
      <c r="L77" s="273"/>
      <c r="M77" s="273"/>
      <c r="N77" s="273"/>
      <c r="O77" s="273"/>
      <c r="P77" s="273"/>
      <c r="Q77" s="273"/>
      <c r="R77" s="273"/>
      <c r="S77" s="273"/>
      <c r="T77" s="273"/>
      <c r="U77" s="273"/>
    </row>
    <row r="78" spans="2:21" ht="15.75" hidden="1" x14ac:dyDescent="0.25">
      <c r="B78" s="1217"/>
      <c r="C78" s="273"/>
      <c r="D78" s="273"/>
      <c r="E78" s="273"/>
      <c r="F78" s="273"/>
      <c r="G78" s="273"/>
      <c r="H78" s="273"/>
      <c r="I78" s="273"/>
      <c r="J78" s="273"/>
      <c r="K78" s="273"/>
      <c r="L78" s="273"/>
      <c r="M78" s="273"/>
      <c r="N78" s="273"/>
      <c r="O78" s="273"/>
      <c r="P78" s="273"/>
      <c r="Q78" s="273"/>
      <c r="R78" s="273"/>
      <c r="S78" s="273"/>
      <c r="T78" s="273"/>
      <c r="U78" s="273"/>
    </row>
    <row r="79" spans="2:21" ht="15.75" hidden="1" x14ac:dyDescent="0.25">
      <c r="B79" s="1217"/>
      <c r="C79" s="273"/>
      <c r="D79" s="273"/>
      <c r="E79" s="273"/>
      <c r="F79" s="273"/>
      <c r="G79" s="273"/>
      <c r="H79" s="273"/>
      <c r="I79" s="273"/>
      <c r="J79" s="273"/>
      <c r="K79" s="273"/>
      <c r="L79" s="273"/>
      <c r="M79" s="273"/>
      <c r="N79" s="273"/>
      <c r="O79" s="273"/>
      <c r="P79" s="273"/>
      <c r="Q79" s="273"/>
      <c r="R79" s="273"/>
      <c r="S79" s="273"/>
      <c r="T79" s="273"/>
      <c r="U79" s="273"/>
    </row>
    <row r="80" spans="2:21" ht="15.75" hidden="1" x14ac:dyDescent="0.25">
      <c r="B80" s="1217"/>
      <c r="C80" s="273"/>
      <c r="D80" s="273"/>
      <c r="E80" s="273"/>
      <c r="F80" s="273"/>
      <c r="G80" s="273"/>
      <c r="H80" s="273"/>
      <c r="I80" s="273"/>
      <c r="J80" s="273"/>
      <c r="K80" s="273"/>
      <c r="L80" s="273"/>
      <c r="M80" s="273"/>
      <c r="N80" s="273"/>
      <c r="O80" s="273"/>
      <c r="P80" s="273"/>
      <c r="Q80" s="273"/>
      <c r="R80" s="273"/>
      <c r="S80" s="273"/>
      <c r="T80" s="273"/>
      <c r="U80" s="273"/>
    </row>
    <row r="81" spans="2:21" ht="15.75" hidden="1" x14ac:dyDescent="0.25">
      <c r="B81" s="1217"/>
      <c r="C81" s="273"/>
      <c r="D81" s="273"/>
      <c r="E81" s="273"/>
      <c r="F81" s="273"/>
      <c r="G81" s="273"/>
      <c r="H81" s="273"/>
      <c r="I81" s="273"/>
      <c r="J81" s="273"/>
      <c r="K81" s="273"/>
      <c r="L81" s="273"/>
      <c r="M81" s="273"/>
      <c r="N81" s="273"/>
      <c r="O81" s="273"/>
      <c r="P81" s="273"/>
      <c r="Q81" s="273"/>
      <c r="R81" s="273"/>
      <c r="S81" s="273"/>
      <c r="T81" s="273"/>
      <c r="U81" s="273"/>
    </row>
    <row r="82" spans="2:21" ht="15.75" hidden="1" x14ac:dyDescent="0.25">
      <c r="B82" s="1217"/>
      <c r="C82" s="273"/>
      <c r="D82" s="273"/>
      <c r="E82" s="273"/>
      <c r="F82" s="273"/>
      <c r="G82" s="273"/>
      <c r="H82" s="273"/>
      <c r="I82" s="273"/>
      <c r="J82" s="273"/>
      <c r="K82" s="273"/>
      <c r="L82" s="273"/>
      <c r="M82" s="273"/>
      <c r="N82" s="273"/>
      <c r="O82" s="273"/>
      <c r="P82" s="273"/>
      <c r="Q82" s="273"/>
      <c r="R82" s="273"/>
      <c r="S82" s="273"/>
      <c r="T82" s="273"/>
      <c r="U82" s="273"/>
    </row>
    <row r="83" spans="2:21" ht="15.75" hidden="1" x14ac:dyDescent="0.25">
      <c r="B83" s="1217"/>
      <c r="C83" s="273"/>
      <c r="D83" s="273"/>
      <c r="E83" s="273"/>
      <c r="F83" s="273"/>
      <c r="G83" s="273"/>
      <c r="H83" s="273"/>
      <c r="I83" s="273"/>
      <c r="J83" s="273"/>
      <c r="K83" s="273"/>
      <c r="L83" s="273"/>
      <c r="M83" s="273"/>
      <c r="N83" s="273"/>
      <c r="O83" s="273"/>
      <c r="P83" s="273"/>
      <c r="Q83" s="273"/>
      <c r="R83" s="273"/>
      <c r="S83" s="273"/>
      <c r="T83" s="273"/>
      <c r="U83" s="273"/>
    </row>
    <row r="84" spans="2:21" ht="15.75" hidden="1" x14ac:dyDescent="0.25">
      <c r="B84" s="1217"/>
      <c r="C84" s="273"/>
      <c r="D84" s="273"/>
      <c r="E84" s="273"/>
      <c r="F84" s="273"/>
      <c r="G84" s="273"/>
      <c r="H84" s="273"/>
      <c r="I84" s="273"/>
      <c r="J84" s="273"/>
      <c r="K84" s="273"/>
      <c r="L84" s="273"/>
      <c r="M84" s="273"/>
      <c r="N84" s="273"/>
      <c r="O84" s="273"/>
      <c r="P84" s="273"/>
      <c r="Q84" s="273"/>
      <c r="R84" s="273"/>
      <c r="S84" s="273"/>
      <c r="T84" s="273"/>
      <c r="U84" s="273"/>
    </row>
    <row r="85" spans="2:21" ht="15.75" hidden="1" x14ac:dyDescent="0.25">
      <c r="B85" s="1217"/>
      <c r="C85" s="273"/>
      <c r="D85" s="273"/>
      <c r="E85" s="273"/>
      <c r="F85" s="273"/>
      <c r="G85" s="273"/>
      <c r="H85" s="273"/>
      <c r="I85" s="273"/>
      <c r="J85" s="273"/>
      <c r="K85" s="273"/>
      <c r="L85" s="273"/>
      <c r="M85" s="273"/>
      <c r="N85" s="273"/>
      <c r="O85" s="273"/>
      <c r="P85" s="273"/>
      <c r="Q85" s="273"/>
      <c r="R85" s="273"/>
      <c r="S85" s="273"/>
      <c r="T85" s="273"/>
      <c r="U85" s="273"/>
    </row>
    <row r="86" spans="2:21" ht="15.75" hidden="1" x14ac:dyDescent="0.25">
      <c r="B86" s="1217"/>
      <c r="C86" s="273"/>
      <c r="D86" s="273"/>
      <c r="E86" s="273"/>
      <c r="F86" s="273"/>
      <c r="G86" s="273"/>
      <c r="H86" s="273"/>
      <c r="I86" s="273"/>
      <c r="J86" s="273"/>
      <c r="K86" s="273"/>
      <c r="L86" s="273"/>
      <c r="M86" s="273"/>
      <c r="N86" s="273"/>
      <c r="O86" s="273"/>
      <c r="P86" s="273"/>
      <c r="Q86" s="273"/>
      <c r="R86" s="273"/>
      <c r="S86" s="273"/>
      <c r="T86" s="273"/>
      <c r="U86" s="273"/>
    </row>
    <row r="87" spans="2:21" ht="15.75" hidden="1" x14ac:dyDescent="0.25">
      <c r="B87" s="1217"/>
      <c r="C87" s="273"/>
      <c r="D87" s="273"/>
      <c r="E87" s="273"/>
      <c r="F87" s="273"/>
      <c r="G87" s="273"/>
      <c r="H87" s="273"/>
      <c r="I87" s="273"/>
      <c r="J87" s="273"/>
      <c r="K87" s="273"/>
      <c r="L87" s="273"/>
      <c r="M87" s="273"/>
      <c r="N87" s="273"/>
      <c r="O87" s="273"/>
      <c r="P87" s="273"/>
      <c r="Q87" s="273"/>
      <c r="R87" s="273"/>
      <c r="S87" s="273"/>
      <c r="T87" s="273"/>
      <c r="U87" s="273"/>
    </row>
    <row r="88" spans="2:21" ht="15.75" hidden="1" x14ac:dyDescent="0.25">
      <c r="B88" s="1217"/>
      <c r="C88" s="273"/>
      <c r="D88" s="273"/>
      <c r="E88" s="273"/>
      <c r="F88" s="273"/>
      <c r="G88" s="273"/>
      <c r="H88" s="273"/>
      <c r="I88" s="273"/>
      <c r="J88" s="273"/>
      <c r="K88" s="273"/>
      <c r="L88" s="273"/>
      <c r="M88" s="273"/>
      <c r="N88" s="273"/>
      <c r="O88" s="273"/>
      <c r="P88" s="273"/>
      <c r="Q88" s="273"/>
      <c r="R88" s="273"/>
      <c r="S88" s="273"/>
      <c r="T88" s="273"/>
      <c r="U88" s="273"/>
    </row>
    <row r="89" spans="2:21" ht="15.75" hidden="1" x14ac:dyDescent="0.25">
      <c r="B89" s="1217"/>
      <c r="C89" s="273"/>
      <c r="D89" s="273"/>
      <c r="E89" s="273"/>
      <c r="F89" s="273"/>
      <c r="G89" s="273"/>
      <c r="H89" s="273"/>
      <c r="I89" s="273"/>
      <c r="J89" s="273"/>
      <c r="K89" s="273"/>
      <c r="L89" s="273"/>
      <c r="M89" s="273"/>
      <c r="N89" s="273"/>
      <c r="O89" s="273"/>
      <c r="P89" s="273"/>
      <c r="Q89" s="273"/>
      <c r="R89" s="273"/>
      <c r="S89" s="273"/>
      <c r="T89" s="273"/>
      <c r="U89" s="273"/>
    </row>
    <row r="90" spans="2:21" ht="15.75" hidden="1" x14ac:dyDescent="0.25">
      <c r="B90" s="1217"/>
      <c r="C90" s="273"/>
      <c r="D90" s="273"/>
      <c r="E90" s="273"/>
      <c r="F90" s="273"/>
      <c r="G90" s="273"/>
      <c r="H90" s="273"/>
      <c r="I90" s="273"/>
      <c r="J90" s="273"/>
      <c r="K90" s="273"/>
      <c r="L90" s="273"/>
      <c r="M90" s="273"/>
      <c r="N90" s="273"/>
      <c r="O90" s="273"/>
      <c r="P90" s="273"/>
      <c r="Q90" s="273"/>
      <c r="R90" s="273"/>
      <c r="S90" s="273"/>
      <c r="T90" s="273"/>
      <c r="U90" s="273"/>
    </row>
    <row r="91" spans="2:21" ht="15.75" hidden="1" x14ac:dyDescent="0.25">
      <c r="B91" s="1217"/>
      <c r="C91" s="273"/>
      <c r="D91" s="273"/>
      <c r="E91" s="273"/>
      <c r="F91" s="273"/>
      <c r="G91" s="273"/>
      <c r="H91" s="273"/>
      <c r="I91" s="273"/>
      <c r="J91" s="273"/>
      <c r="K91" s="273"/>
      <c r="L91" s="273"/>
      <c r="M91" s="273"/>
      <c r="N91" s="273"/>
      <c r="O91" s="273"/>
      <c r="P91" s="273"/>
      <c r="Q91" s="273"/>
      <c r="R91" s="273"/>
      <c r="S91" s="273"/>
      <c r="T91" s="273"/>
      <c r="U91" s="273"/>
    </row>
    <row r="92" spans="2:21" ht="15.75" hidden="1" x14ac:dyDescent="0.25">
      <c r="B92" s="1217"/>
      <c r="C92" s="273"/>
      <c r="D92" s="273"/>
      <c r="E92" s="273"/>
      <c r="F92" s="273"/>
      <c r="G92" s="273"/>
      <c r="H92" s="273"/>
      <c r="I92" s="273"/>
      <c r="J92" s="273"/>
      <c r="K92" s="273"/>
      <c r="L92" s="273"/>
      <c r="M92" s="273"/>
      <c r="N92" s="273"/>
      <c r="O92" s="273"/>
      <c r="P92" s="273"/>
      <c r="Q92" s="273"/>
      <c r="R92" s="273"/>
      <c r="S92" s="273"/>
      <c r="T92" s="273"/>
      <c r="U92" s="273"/>
    </row>
    <row r="93" spans="2:21" ht="15.75" hidden="1" x14ac:dyDescent="0.25">
      <c r="B93" s="1217"/>
      <c r="C93" s="273"/>
      <c r="D93" s="273"/>
      <c r="E93" s="273"/>
      <c r="F93" s="273"/>
      <c r="G93" s="273"/>
      <c r="H93" s="273"/>
      <c r="I93" s="273"/>
      <c r="J93" s="273"/>
      <c r="K93" s="273"/>
      <c r="L93" s="273"/>
      <c r="M93" s="273"/>
      <c r="N93" s="273"/>
      <c r="O93" s="273"/>
      <c r="P93" s="273"/>
      <c r="Q93" s="273"/>
      <c r="R93" s="273"/>
      <c r="S93" s="273"/>
      <c r="T93" s="273"/>
      <c r="U93" s="273"/>
    </row>
    <row r="94" spans="2:21" ht="15.75" hidden="1" x14ac:dyDescent="0.25">
      <c r="B94" s="1217"/>
      <c r="C94" s="273"/>
      <c r="D94" s="273"/>
      <c r="E94" s="273"/>
      <c r="F94" s="273"/>
      <c r="G94" s="273"/>
      <c r="H94" s="273"/>
      <c r="I94" s="273"/>
      <c r="J94" s="273"/>
      <c r="K94" s="273"/>
      <c r="L94" s="273"/>
      <c r="M94" s="273"/>
      <c r="N94" s="273"/>
      <c r="O94" s="273"/>
      <c r="P94" s="273"/>
      <c r="Q94" s="273"/>
      <c r="R94" s="273"/>
      <c r="S94" s="273"/>
      <c r="T94" s="273"/>
      <c r="U94" s="273"/>
    </row>
    <row r="95" spans="2:21" ht="15.75" hidden="1" x14ac:dyDescent="0.25">
      <c r="B95" s="1217"/>
      <c r="C95" s="273"/>
      <c r="D95" s="273"/>
      <c r="E95" s="273"/>
      <c r="F95" s="273"/>
      <c r="G95" s="273"/>
      <c r="H95" s="273"/>
      <c r="I95" s="273"/>
      <c r="J95" s="273"/>
      <c r="K95" s="273"/>
      <c r="L95" s="273"/>
      <c r="M95" s="273"/>
      <c r="N95" s="273"/>
      <c r="O95" s="273"/>
      <c r="P95" s="273"/>
      <c r="Q95" s="273"/>
      <c r="R95" s="273"/>
      <c r="S95" s="273"/>
      <c r="T95" s="273"/>
      <c r="U95" s="273"/>
    </row>
    <row r="96" spans="2:21" ht="15.75" hidden="1" x14ac:dyDescent="0.25">
      <c r="B96" s="1217"/>
      <c r="C96" s="273"/>
      <c r="D96" s="273"/>
      <c r="E96" s="273"/>
      <c r="F96" s="273"/>
      <c r="G96" s="273"/>
      <c r="H96" s="273"/>
      <c r="I96" s="273"/>
      <c r="J96" s="273"/>
      <c r="K96" s="273"/>
      <c r="L96" s="273"/>
      <c r="M96" s="273"/>
      <c r="N96" s="273"/>
      <c r="O96" s="273"/>
      <c r="P96" s="273"/>
      <c r="Q96" s="273"/>
      <c r="R96" s="273"/>
      <c r="S96" s="273"/>
      <c r="T96" s="273"/>
      <c r="U96" s="273"/>
    </row>
    <row r="97" spans="2:21" ht="15.75" hidden="1" x14ac:dyDescent="0.25">
      <c r="B97" s="1217"/>
      <c r="C97" s="273"/>
      <c r="D97" s="273"/>
      <c r="E97" s="273"/>
      <c r="F97" s="273"/>
      <c r="G97" s="273"/>
      <c r="H97" s="273"/>
      <c r="I97" s="273"/>
      <c r="J97" s="273"/>
      <c r="K97" s="273"/>
      <c r="L97" s="273"/>
      <c r="M97" s="273"/>
      <c r="N97" s="273"/>
      <c r="O97" s="273"/>
      <c r="P97" s="273"/>
      <c r="Q97" s="273"/>
      <c r="R97" s="273"/>
      <c r="S97" s="273"/>
      <c r="T97" s="273"/>
      <c r="U97" s="273"/>
    </row>
    <row r="98" spans="2:21" ht="15.75" hidden="1" x14ac:dyDescent="0.25">
      <c r="B98" s="1217"/>
      <c r="C98" s="273"/>
      <c r="D98" s="273"/>
      <c r="E98" s="273"/>
      <c r="F98" s="273"/>
      <c r="G98" s="273"/>
      <c r="H98" s="273"/>
      <c r="I98" s="273"/>
      <c r="J98" s="273"/>
      <c r="K98" s="273"/>
      <c r="L98" s="273"/>
      <c r="M98" s="273"/>
      <c r="N98" s="273"/>
      <c r="O98" s="273"/>
      <c r="P98" s="273"/>
      <c r="Q98" s="273"/>
      <c r="R98" s="273"/>
      <c r="S98" s="273"/>
      <c r="T98" s="273"/>
      <c r="U98" s="273"/>
    </row>
    <row r="99" spans="2:21" ht="15.75" hidden="1" x14ac:dyDescent="0.25">
      <c r="B99" s="1217"/>
      <c r="C99" s="273"/>
      <c r="D99" s="273"/>
      <c r="E99" s="273"/>
      <c r="F99" s="273"/>
      <c r="G99" s="273"/>
      <c r="H99" s="273"/>
      <c r="I99" s="273"/>
      <c r="J99" s="273"/>
      <c r="K99" s="273"/>
      <c r="L99" s="273"/>
      <c r="M99" s="273"/>
      <c r="N99" s="273"/>
      <c r="O99" s="273"/>
      <c r="P99" s="273"/>
      <c r="Q99" s="273"/>
      <c r="R99" s="273"/>
      <c r="S99" s="273"/>
      <c r="T99" s="273"/>
      <c r="U99" s="273"/>
    </row>
    <row r="100" spans="2:21" ht="15.75" hidden="1" x14ac:dyDescent="0.25">
      <c r="B100" s="1217"/>
      <c r="C100" s="273"/>
      <c r="D100" s="273"/>
      <c r="E100" s="273"/>
      <c r="F100" s="273"/>
      <c r="G100" s="273"/>
      <c r="H100" s="273"/>
      <c r="I100" s="273"/>
      <c r="J100" s="273"/>
      <c r="K100" s="273"/>
      <c r="L100" s="273"/>
      <c r="M100" s="273"/>
      <c r="N100" s="273"/>
      <c r="O100" s="273"/>
      <c r="P100" s="273"/>
      <c r="Q100" s="273"/>
      <c r="R100" s="273"/>
      <c r="S100" s="273"/>
      <c r="T100" s="273"/>
      <c r="U100" s="273"/>
    </row>
    <row r="101" spans="2:21" ht="15.75" hidden="1" x14ac:dyDescent="0.25">
      <c r="B101" s="1217"/>
      <c r="C101" s="273"/>
      <c r="D101" s="273"/>
      <c r="E101" s="273"/>
      <c r="F101" s="273"/>
      <c r="G101" s="273"/>
      <c r="H101" s="273"/>
      <c r="I101" s="273"/>
      <c r="J101" s="273"/>
      <c r="K101" s="273"/>
      <c r="L101" s="273"/>
      <c r="M101" s="273"/>
      <c r="N101" s="273"/>
      <c r="O101" s="273"/>
      <c r="P101" s="273"/>
      <c r="Q101" s="273"/>
      <c r="R101" s="273"/>
      <c r="S101" s="273"/>
      <c r="T101" s="273"/>
      <c r="U101" s="273"/>
    </row>
    <row r="102" spans="2:21" ht="15.75" hidden="1" x14ac:dyDescent="0.25">
      <c r="B102" s="1217"/>
      <c r="C102" s="273"/>
      <c r="D102" s="273"/>
      <c r="E102" s="273"/>
      <c r="F102" s="273"/>
      <c r="G102" s="273"/>
      <c r="H102" s="273"/>
      <c r="I102" s="273"/>
      <c r="J102" s="273"/>
      <c r="K102" s="273"/>
      <c r="L102" s="273"/>
      <c r="M102" s="273"/>
      <c r="N102" s="273"/>
      <c r="O102" s="273"/>
      <c r="P102" s="273"/>
      <c r="Q102" s="273"/>
      <c r="R102" s="273"/>
      <c r="S102" s="273"/>
      <c r="T102" s="273"/>
      <c r="U102" s="273"/>
    </row>
    <row r="103" spans="2:21" ht="15.75" hidden="1" x14ac:dyDescent="0.25">
      <c r="B103" s="1217"/>
      <c r="C103" s="273"/>
      <c r="D103" s="273"/>
      <c r="E103" s="273"/>
      <c r="F103" s="273"/>
      <c r="G103" s="273"/>
      <c r="H103" s="273"/>
      <c r="I103" s="273"/>
      <c r="J103" s="273"/>
      <c r="K103" s="273"/>
      <c r="L103" s="273"/>
      <c r="M103" s="273"/>
      <c r="N103" s="273"/>
      <c r="O103" s="273"/>
      <c r="P103" s="273"/>
      <c r="Q103" s="273"/>
      <c r="R103" s="273"/>
      <c r="S103" s="273"/>
      <c r="T103" s="273"/>
      <c r="U103" s="273"/>
    </row>
    <row r="104" spans="2:21" ht="15.75" hidden="1" x14ac:dyDescent="0.25">
      <c r="B104" s="1217"/>
      <c r="C104" s="273"/>
      <c r="D104" s="273"/>
      <c r="E104" s="273"/>
      <c r="F104" s="273"/>
      <c r="G104" s="273"/>
      <c r="H104" s="273"/>
      <c r="I104" s="273"/>
      <c r="J104" s="273"/>
      <c r="K104" s="273"/>
      <c r="L104" s="273"/>
      <c r="M104" s="273"/>
      <c r="N104" s="273"/>
      <c r="O104" s="273"/>
      <c r="P104" s="273"/>
      <c r="Q104" s="273"/>
      <c r="R104" s="273"/>
      <c r="S104" s="273"/>
      <c r="T104" s="273"/>
      <c r="U104" s="273"/>
    </row>
    <row r="105" spans="2:21" ht="15.75" hidden="1" x14ac:dyDescent="0.25">
      <c r="B105" s="1217"/>
      <c r="C105" s="273"/>
      <c r="D105" s="273"/>
      <c r="E105" s="273"/>
      <c r="F105" s="273"/>
      <c r="G105" s="273"/>
      <c r="H105" s="273"/>
      <c r="I105" s="273"/>
      <c r="J105" s="273"/>
      <c r="K105" s="273"/>
      <c r="L105" s="273"/>
      <c r="M105" s="273"/>
      <c r="N105" s="273"/>
      <c r="O105" s="273"/>
      <c r="P105" s="273"/>
      <c r="Q105" s="273"/>
      <c r="R105" s="273"/>
      <c r="S105" s="273"/>
      <c r="T105" s="273"/>
      <c r="U105" s="273"/>
    </row>
    <row r="106" spans="2:21" ht="15.75" hidden="1" x14ac:dyDescent="0.25">
      <c r="B106" s="1217"/>
      <c r="C106" s="273"/>
      <c r="D106" s="273"/>
      <c r="E106" s="273"/>
      <c r="F106" s="273"/>
      <c r="G106" s="273"/>
      <c r="H106" s="273"/>
      <c r="I106" s="273"/>
      <c r="J106" s="273"/>
      <c r="K106" s="273"/>
      <c r="L106" s="273"/>
      <c r="M106" s="273"/>
      <c r="N106" s="273"/>
      <c r="O106" s="273"/>
      <c r="P106" s="273"/>
      <c r="Q106" s="273"/>
      <c r="R106" s="273"/>
      <c r="S106" s="273"/>
      <c r="T106" s="273"/>
      <c r="U106" s="273"/>
    </row>
    <row r="107" spans="2:21" ht="15.75" hidden="1" x14ac:dyDescent="0.25">
      <c r="B107" s="1217"/>
      <c r="C107" s="273"/>
      <c r="D107" s="273"/>
      <c r="E107" s="273"/>
      <c r="F107" s="273"/>
      <c r="G107" s="273"/>
      <c r="H107" s="273"/>
      <c r="I107" s="273"/>
      <c r="J107" s="273"/>
      <c r="K107" s="273"/>
      <c r="L107" s="273"/>
      <c r="M107" s="273"/>
      <c r="N107" s="273"/>
      <c r="O107" s="273"/>
      <c r="P107" s="273"/>
      <c r="Q107" s="273"/>
      <c r="R107" s="273"/>
      <c r="S107" s="273"/>
      <c r="T107" s="273"/>
      <c r="U107" s="273"/>
    </row>
    <row r="108" spans="2:21" ht="15.75" hidden="1" x14ac:dyDescent="0.25">
      <c r="B108" s="1217"/>
      <c r="C108" s="273"/>
      <c r="D108" s="273"/>
      <c r="E108" s="273"/>
      <c r="F108" s="273"/>
      <c r="G108" s="273"/>
      <c r="H108" s="273"/>
      <c r="I108" s="273"/>
      <c r="J108" s="273"/>
      <c r="K108" s="273"/>
      <c r="L108" s="273"/>
      <c r="M108" s="273"/>
      <c r="N108" s="273"/>
      <c r="O108" s="273"/>
      <c r="P108" s="273"/>
      <c r="Q108" s="273"/>
      <c r="R108" s="273"/>
      <c r="S108" s="273"/>
      <c r="T108" s="273"/>
      <c r="U108" s="273"/>
    </row>
    <row r="109" spans="2:21" ht="15.75" hidden="1" x14ac:dyDescent="0.25">
      <c r="B109" s="1217"/>
      <c r="C109" s="273"/>
      <c r="D109" s="273"/>
      <c r="E109" s="273"/>
      <c r="F109" s="273"/>
      <c r="G109" s="273"/>
      <c r="H109" s="273"/>
      <c r="I109" s="273"/>
      <c r="J109" s="273"/>
      <c r="K109" s="273"/>
      <c r="L109" s="273"/>
      <c r="M109" s="273"/>
      <c r="N109" s="273"/>
      <c r="O109" s="273"/>
      <c r="P109" s="273"/>
      <c r="Q109" s="273"/>
      <c r="R109" s="273"/>
      <c r="S109" s="273"/>
      <c r="T109" s="273"/>
      <c r="U109" s="273"/>
    </row>
    <row r="110" spans="2:21" ht="15.75" hidden="1" x14ac:dyDescent="0.25">
      <c r="B110" s="1217"/>
      <c r="C110" s="273"/>
      <c r="D110" s="273"/>
      <c r="E110" s="273"/>
      <c r="F110" s="273"/>
      <c r="G110" s="273"/>
      <c r="H110" s="273"/>
      <c r="I110" s="273"/>
      <c r="J110" s="273"/>
      <c r="K110" s="273"/>
      <c r="L110" s="273"/>
      <c r="M110" s="273"/>
      <c r="N110" s="273"/>
      <c r="O110" s="273"/>
      <c r="P110" s="273"/>
      <c r="Q110" s="273"/>
      <c r="R110" s="273"/>
      <c r="S110" s="273"/>
      <c r="T110" s="273"/>
      <c r="U110" s="273"/>
    </row>
    <row r="111" spans="2:21" ht="15.75" hidden="1" x14ac:dyDescent="0.25">
      <c r="B111" s="1217"/>
      <c r="C111" s="273"/>
      <c r="D111" s="273"/>
      <c r="E111" s="273"/>
      <c r="F111" s="273"/>
      <c r="G111" s="273"/>
      <c r="H111" s="273"/>
      <c r="I111" s="273"/>
      <c r="J111" s="273"/>
      <c r="K111" s="273"/>
      <c r="L111" s="273"/>
      <c r="M111" s="273"/>
      <c r="N111" s="273"/>
      <c r="O111" s="273"/>
      <c r="P111" s="273"/>
      <c r="Q111" s="273"/>
      <c r="R111" s="273"/>
      <c r="S111" s="273"/>
      <c r="T111" s="273"/>
      <c r="U111" s="273"/>
    </row>
    <row r="112" spans="2:21" ht="15.75" hidden="1" x14ac:dyDescent="0.25">
      <c r="B112" s="1217"/>
      <c r="C112" s="273"/>
      <c r="D112" s="273"/>
      <c r="E112" s="273"/>
      <c r="F112" s="273"/>
      <c r="G112" s="273"/>
      <c r="H112" s="273"/>
      <c r="I112" s="273"/>
      <c r="J112" s="273"/>
      <c r="K112" s="273"/>
      <c r="L112" s="273"/>
      <c r="M112" s="273"/>
      <c r="N112" s="273"/>
      <c r="O112" s="273"/>
      <c r="P112" s="273"/>
      <c r="Q112" s="273"/>
      <c r="R112" s="273"/>
      <c r="S112" s="273"/>
      <c r="T112" s="273"/>
      <c r="U112" s="273"/>
    </row>
    <row r="113" spans="2:21" ht="15.75" hidden="1" x14ac:dyDescent="0.25">
      <c r="B113" s="1217"/>
      <c r="C113" s="273"/>
      <c r="D113" s="273"/>
      <c r="E113" s="273"/>
      <c r="F113" s="273"/>
      <c r="G113" s="273"/>
      <c r="H113" s="273"/>
      <c r="I113" s="273"/>
      <c r="J113" s="273"/>
      <c r="K113" s="273"/>
      <c r="L113" s="273"/>
      <c r="M113" s="273"/>
      <c r="N113" s="273"/>
      <c r="O113" s="273"/>
      <c r="P113" s="273"/>
      <c r="Q113" s="273"/>
      <c r="R113" s="273"/>
      <c r="S113" s="273"/>
      <c r="T113" s="273"/>
      <c r="U113" s="273"/>
    </row>
    <row r="114" spans="2:21" ht="15.75" hidden="1" x14ac:dyDescent="0.25">
      <c r="B114" s="1217"/>
      <c r="C114" s="273"/>
      <c r="D114" s="273"/>
      <c r="E114" s="273"/>
      <c r="F114" s="273"/>
      <c r="G114" s="273"/>
      <c r="H114" s="273"/>
      <c r="I114" s="273"/>
      <c r="J114" s="273"/>
      <c r="K114" s="273"/>
      <c r="L114" s="273"/>
      <c r="M114" s="273"/>
      <c r="N114" s="273"/>
      <c r="O114" s="273"/>
      <c r="P114" s="273"/>
      <c r="Q114" s="273"/>
      <c r="R114" s="273"/>
      <c r="S114" s="273"/>
      <c r="T114" s="273"/>
      <c r="U114" s="273"/>
    </row>
    <row r="115" spans="2:21" ht="15.75" hidden="1" x14ac:dyDescent="0.25">
      <c r="B115" s="1217"/>
      <c r="C115" s="273"/>
      <c r="D115" s="273"/>
      <c r="E115" s="273"/>
      <c r="F115" s="273"/>
      <c r="G115" s="273"/>
      <c r="H115" s="273"/>
      <c r="I115" s="273"/>
      <c r="J115" s="273"/>
      <c r="K115" s="273"/>
      <c r="L115" s="273"/>
      <c r="M115" s="273"/>
      <c r="N115" s="273"/>
      <c r="O115" s="273"/>
      <c r="P115" s="273"/>
      <c r="Q115" s="273"/>
      <c r="R115" s="273"/>
      <c r="S115" s="273"/>
      <c r="T115" s="273"/>
      <c r="U115" s="273"/>
    </row>
    <row r="116" spans="2:21" ht="15.75" hidden="1" x14ac:dyDescent="0.25">
      <c r="B116" s="1217"/>
      <c r="C116" s="273"/>
      <c r="D116" s="273"/>
      <c r="E116" s="273"/>
      <c r="F116" s="273"/>
      <c r="G116" s="273"/>
      <c r="H116" s="273"/>
      <c r="I116" s="273"/>
      <c r="J116" s="273"/>
      <c r="K116" s="273"/>
      <c r="L116" s="273"/>
      <c r="M116" s="273"/>
      <c r="N116" s="273"/>
      <c r="O116" s="273"/>
      <c r="P116" s="273"/>
      <c r="Q116" s="273"/>
      <c r="R116" s="273"/>
      <c r="S116" s="273"/>
      <c r="T116" s="273"/>
      <c r="U116" s="273"/>
    </row>
    <row r="117" spans="2:21" ht="15.75" hidden="1" x14ac:dyDescent="0.25">
      <c r="B117" s="1217"/>
      <c r="C117" s="273"/>
      <c r="D117" s="273"/>
      <c r="E117" s="273"/>
      <c r="F117" s="273"/>
      <c r="G117" s="273"/>
      <c r="H117" s="273"/>
      <c r="I117" s="273"/>
      <c r="J117" s="273"/>
      <c r="K117" s="273"/>
      <c r="L117" s="273"/>
      <c r="M117" s="273"/>
      <c r="N117" s="273"/>
      <c r="O117" s="273"/>
      <c r="P117" s="273"/>
      <c r="Q117" s="273"/>
      <c r="R117" s="273"/>
      <c r="S117" s="273"/>
      <c r="T117" s="273"/>
      <c r="U117" s="273"/>
    </row>
    <row r="118" spans="2:21" ht="15.75" hidden="1" x14ac:dyDescent="0.25">
      <c r="B118" s="1217"/>
      <c r="C118" s="273"/>
      <c r="D118" s="273"/>
      <c r="E118" s="273"/>
      <c r="F118" s="273"/>
      <c r="G118" s="273"/>
      <c r="H118" s="273"/>
      <c r="I118" s="273"/>
      <c r="J118" s="273"/>
      <c r="K118" s="273"/>
      <c r="L118" s="273"/>
      <c r="M118" s="273"/>
      <c r="N118" s="273"/>
      <c r="O118" s="273"/>
      <c r="P118" s="273"/>
      <c r="Q118" s="273"/>
      <c r="R118" s="273"/>
      <c r="S118" s="273"/>
      <c r="T118" s="273"/>
      <c r="U118" s="273"/>
    </row>
    <row r="119" spans="2:21" ht="15.75" hidden="1" x14ac:dyDescent="0.25">
      <c r="B119" s="1217"/>
      <c r="C119" s="273"/>
      <c r="D119" s="273"/>
      <c r="E119" s="273"/>
      <c r="F119" s="273"/>
      <c r="G119" s="273"/>
      <c r="H119" s="273"/>
      <c r="I119" s="273"/>
      <c r="J119" s="273"/>
      <c r="K119" s="273"/>
      <c r="L119" s="273"/>
      <c r="M119" s="273"/>
      <c r="N119" s="273"/>
      <c r="O119" s="273"/>
      <c r="P119" s="273"/>
      <c r="Q119" s="273"/>
      <c r="R119" s="273"/>
      <c r="S119" s="273"/>
      <c r="T119" s="273"/>
      <c r="U119" s="273"/>
    </row>
    <row r="120" spans="2:21" ht="15.75" hidden="1" x14ac:dyDescent="0.25">
      <c r="B120" s="1217"/>
      <c r="C120" s="273"/>
      <c r="D120" s="273"/>
      <c r="E120" s="273"/>
      <c r="F120" s="273"/>
      <c r="G120" s="273"/>
      <c r="H120" s="273"/>
      <c r="I120" s="273"/>
      <c r="J120" s="273"/>
      <c r="K120" s="273"/>
      <c r="L120" s="273"/>
      <c r="M120" s="273"/>
      <c r="N120" s="273"/>
      <c r="O120" s="273"/>
      <c r="P120" s="273"/>
      <c r="Q120" s="273"/>
      <c r="R120" s="273"/>
      <c r="S120" s="273"/>
      <c r="T120" s="273"/>
      <c r="U120" s="273"/>
    </row>
    <row r="121" spans="2:21" ht="15.75" hidden="1" x14ac:dyDescent="0.25">
      <c r="B121" s="1217"/>
      <c r="C121" s="273"/>
      <c r="D121" s="273"/>
      <c r="E121" s="273"/>
      <c r="F121" s="273"/>
      <c r="G121" s="273"/>
      <c r="H121" s="273"/>
      <c r="I121" s="273"/>
      <c r="J121" s="273"/>
      <c r="K121" s="273"/>
      <c r="L121" s="273"/>
      <c r="M121" s="273"/>
      <c r="N121" s="273"/>
      <c r="O121" s="273"/>
      <c r="P121" s="273"/>
      <c r="Q121" s="273"/>
      <c r="R121" s="273"/>
      <c r="S121" s="273"/>
      <c r="T121" s="273"/>
      <c r="U121" s="273"/>
    </row>
    <row r="122" spans="2:21" ht="15.75" hidden="1" x14ac:dyDescent="0.25">
      <c r="B122" s="1217"/>
      <c r="C122" s="273"/>
      <c r="D122" s="273"/>
      <c r="E122" s="273"/>
      <c r="F122" s="273"/>
      <c r="G122" s="273"/>
      <c r="H122" s="273"/>
      <c r="I122" s="273"/>
      <c r="J122" s="273"/>
      <c r="K122" s="273"/>
      <c r="L122" s="273"/>
      <c r="M122" s="273"/>
      <c r="N122" s="273"/>
      <c r="O122" s="273"/>
      <c r="P122" s="273"/>
      <c r="Q122" s="273"/>
      <c r="R122" s="273"/>
      <c r="S122" s="273"/>
      <c r="T122" s="273"/>
      <c r="U122" s="273"/>
    </row>
    <row r="123" spans="2:21" ht="15.75" hidden="1" x14ac:dyDescent="0.25">
      <c r="B123" s="1217"/>
      <c r="C123" s="273"/>
      <c r="D123" s="273"/>
      <c r="E123" s="273"/>
      <c r="F123" s="273"/>
      <c r="G123" s="273"/>
      <c r="H123" s="273"/>
      <c r="I123" s="273"/>
      <c r="J123" s="273"/>
      <c r="K123" s="273"/>
      <c r="L123" s="273"/>
      <c r="M123" s="273"/>
      <c r="N123" s="273"/>
      <c r="O123" s="273"/>
      <c r="P123" s="273"/>
      <c r="Q123" s="273"/>
      <c r="R123" s="273"/>
      <c r="S123" s="273"/>
      <c r="T123" s="273"/>
      <c r="U123" s="273"/>
    </row>
    <row r="124" spans="2:21" ht="15.75" hidden="1" x14ac:dyDescent="0.25">
      <c r="B124" s="1217"/>
      <c r="C124" s="273"/>
      <c r="D124" s="273"/>
      <c r="E124" s="273"/>
      <c r="F124" s="273"/>
      <c r="G124" s="273"/>
      <c r="H124" s="273"/>
      <c r="I124" s="273"/>
      <c r="J124" s="273"/>
      <c r="K124" s="273"/>
      <c r="L124" s="273"/>
      <c r="M124" s="273"/>
      <c r="N124" s="273"/>
      <c r="O124" s="273"/>
      <c r="P124" s="273"/>
      <c r="Q124" s="273"/>
      <c r="R124" s="273"/>
      <c r="S124" s="273"/>
      <c r="T124" s="273"/>
      <c r="U124" s="273"/>
    </row>
    <row r="125" spans="2:21" ht="15.75" hidden="1" x14ac:dyDescent="0.25">
      <c r="B125" s="1217"/>
      <c r="C125" s="273"/>
      <c r="D125" s="273"/>
      <c r="E125" s="273"/>
      <c r="F125" s="273"/>
      <c r="G125" s="273"/>
      <c r="H125" s="273"/>
      <c r="I125" s="273"/>
      <c r="J125" s="273"/>
      <c r="K125" s="273"/>
      <c r="L125" s="273"/>
      <c r="M125" s="273"/>
      <c r="N125" s="273"/>
      <c r="O125" s="273"/>
      <c r="P125" s="273"/>
      <c r="Q125" s="273"/>
      <c r="R125" s="273"/>
      <c r="S125" s="273"/>
      <c r="T125" s="273"/>
      <c r="U125" s="273"/>
    </row>
    <row r="126" spans="2:21" ht="15.75" hidden="1" x14ac:dyDescent="0.25">
      <c r="B126" s="1217"/>
      <c r="C126" s="273"/>
      <c r="D126" s="273"/>
      <c r="E126" s="273"/>
      <c r="F126" s="273"/>
      <c r="G126" s="273"/>
      <c r="H126" s="273"/>
      <c r="I126" s="273"/>
      <c r="J126" s="273"/>
      <c r="K126" s="273"/>
      <c r="L126" s="273"/>
      <c r="M126" s="273"/>
      <c r="N126" s="273"/>
      <c r="O126" s="273"/>
      <c r="P126" s="273"/>
      <c r="Q126" s="273"/>
      <c r="R126" s="273"/>
      <c r="S126" s="273"/>
      <c r="T126" s="273"/>
      <c r="U126" s="273"/>
    </row>
    <row r="127" spans="2:21" ht="15.75" hidden="1" x14ac:dyDescent="0.25">
      <c r="B127" s="1217"/>
      <c r="C127" s="273"/>
      <c r="D127" s="273"/>
      <c r="E127" s="273"/>
      <c r="F127" s="273"/>
      <c r="G127" s="273"/>
      <c r="H127" s="273"/>
      <c r="I127" s="273"/>
      <c r="J127" s="273"/>
      <c r="K127" s="273"/>
      <c r="L127" s="273"/>
      <c r="M127" s="273"/>
      <c r="N127" s="273"/>
      <c r="O127" s="273"/>
      <c r="P127" s="273"/>
      <c r="Q127" s="273"/>
      <c r="R127" s="273"/>
      <c r="S127" s="273"/>
      <c r="T127" s="273"/>
      <c r="U127" s="273"/>
    </row>
    <row r="128" spans="2:21" ht="15.75" hidden="1" x14ac:dyDescent="0.25">
      <c r="B128" s="1217"/>
      <c r="C128" s="273"/>
      <c r="D128" s="273"/>
      <c r="E128" s="273"/>
      <c r="F128" s="273"/>
      <c r="G128" s="273"/>
      <c r="H128" s="273"/>
      <c r="I128" s="273"/>
      <c r="J128" s="273"/>
      <c r="K128" s="273"/>
      <c r="L128" s="273"/>
      <c r="M128" s="273"/>
      <c r="N128" s="273"/>
      <c r="O128" s="273"/>
      <c r="P128" s="273"/>
      <c r="Q128" s="273"/>
      <c r="R128" s="273"/>
      <c r="S128" s="273"/>
      <c r="T128" s="273"/>
      <c r="U128" s="273"/>
    </row>
    <row r="129" spans="2:21" ht="15.75" hidden="1" x14ac:dyDescent="0.25">
      <c r="B129" s="1217"/>
      <c r="C129" s="273"/>
      <c r="D129" s="273"/>
      <c r="E129" s="273"/>
      <c r="F129" s="273"/>
      <c r="G129" s="273"/>
      <c r="H129" s="273"/>
      <c r="I129" s="273"/>
      <c r="J129" s="273"/>
      <c r="K129" s="273"/>
      <c r="L129" s="273"/>
      <c r="M129" s="273"/>
      <c r="N129" s="273"/>
      <c r="O129" s="273"/>
      <c r="P129" s="273"/>
      <c r="Q129" s="273"/>
      <c r="R129" s="273"/>
      <c r="S129" s="273"/>
      <c r="T129" s="273"/>
      <c r="U129" s="273"/>
    </row>
    <row r="130" spans="2:21" ht="15.75" hidden="1" x14ac:dyDescent="0.25">
      <c r="B130" s="1217"/>
      <c r="C130" s="273"/>
      <c r="D130" s="273"/>
      <c r="E130" s="273"/>
      <c r="F130" s="273"/>
      <c r="G130" s="273"/>
      <c r="H130" s="273"/>
      <c r="I130" s="273"/>
      <c r="J130" s="273"/>
      <c r="K130" s="273"/>
      <c r="L130" s="273"/>
      <c r="M130" s="273"/>
      <c r="N130" s="273"/>
      <c r="O130" s="273"/>
      <c r="P130" s="273"/>
      <c r="Q130" s="273"/>
      <c r="R130" s="273"/>
      <c r="S130" s="273"/>
      <c r="T130" s="273"/>
      <c r="U130" s="273"/>
    </row>
    <row r="131" spans="2:21" ht="15.75" hidden="1" x14ac:dyDescent="0.25">
      <c r="B131" s="1217"/>
      <c r="C131" s="273"/>
      <c r="D131" s="273"/>
      <c r="E131" s="273"/>
      <c r="F131" s="273"/>
      <c r="G131" s="273"/>
      <c r="H131" s="273"/>
      <c r="I131" s="273"/>
      <c r="J131" s="273"/>
      <c r="K131" s="273"/>
      <c r="L131" s="273"/>
      <c r="M131" s="273"/>
      <c r="N131" s="273"/>
      <c r="O131" s="273"/>
      <c r="P131" s="273"/>
      <c r="Q131" s="273"/>
      <c r="R131" s="273"/>
      <c r="S131" s="273"/>
      <c r="T131" s="273"/>
      <c r="U131" s="273"/>
    </row>
    <row r="132" spans="2:21" ht="15.75" hidden="1" x14ac:dyDescent="0.25">
      <c r="B132" s="1217"/>
      <c r="C132" s="273"/>
      <c r="D132" s="273"/>
      <c r="E132" s="273"/>
      <c r="F132" s="273"/>
      <c r="G132" s="273"/>
      <c r="H132" s="273"/>
      <c r="I132" s="273"/>
      <c r="J132" s="273"/>
      <c r="K132" s="273"/>
      <c r="L132" s="273"/>
      <c r="M132" s="273"/>
      <c r="N132" s="273"/>
      <c r="O132" s="273"/>
      <c r="P132" s="273"/>
      <c r="Q132" s="273"/>
      <c r="R132" s="273"/>
      <c r="S132" s="273"/>
      <c r="T132" s="273"/>
      <c r="U132" s="273"/>
    </row>
    <row r="133" spans="2:21" ht="15.75" hidden="1" x14ac:dyDescent="0.25">
      <c r="B133" s="1217"/>
      <c r="C133" s="273"/>
      <c r="D133" s="273"/>
      <c r="E133" s="273"/>
      <c r="F133" s="273"/>
      <c r="G133" s="273"/>
      <c r="H133" s="273"/>
      <c r="I133" s="273"/>
      <c r="J133" s="273"/>
      <c r="K133" s="273"/>
      <c r="L133" s="273"/>
      <c r="M133" s="273"/>
      <c r="N133" s="273"/>
      <c r="O133" s="273"/>
      <c r="P133" s="273"/>
      <c r="Q133" s="273"/>
      <c r="R133" s="273"/>
      <c r="S133" s="273"/>
      <c r="T133" s="273"/>
      <c r="U133" s="273"/>
    </row>
    <row r="134" spans="2:21" ht="15.75" hidden="1" x14ac:dyDescent="0.25">
      <c r="B134" s="1217"/>
      <c r="C134" s="273"/>
      <c r="D134" s="273"/>
      <c r="E134" s="273"/>
      <c r="F134" s="273"/>
      <c r="G134" s="273"/>
      <c r="H134" s="273"/>
      <c r="I134" s="273"/>
      <c r="J134" s="273"/>
      <c r="K134" s="273"/>
      <c r="L134" s="273"/>
      <c r="M134" s="273"/>
      <c r="N134" s="273"/>
      <c r="O134" s="273"/>
      <c r="P134" s="273"/>
      <c r="Q134" s="273"/>
      <c r="R134" s="273"/>
      <c r="S134" s="273"/>
      <c r="T134" s="273"/>
      <c r="U134" s="273"/>
    </row>
    <row r="135" spans="2:21" ht="15.75" hidden="1" x14ac:dyDescent="0.25">
      <c r="B135" s="1217"/>
      <c r="C135" s="273"/>
      <c r="D135" s="273"/>
      <c r="E135" s="273"/>
      <c r="F135" s="273"/>
      <c r="G135" s="273"/>
      <c r="H135" s="273"/>
      <c r="I135" s="273"/>
      <c r="J135" s="273"/>
      <c r="K135" s="273"/>
      <c r="L135" s="273"/>
      <c r="M135" s="273"/>
      <c r="N135" s="273"/>
      <c r="O135" s="273"/>
      <c r="P135" s="273"/>
      <c r="Q135" s="273"/>
      <c r="R135" s="273"/>
      <c r="S135" s="273"/>
      <c r="T135" s="273"/>
      <c r="U135" s="273"/>
    </row>
    <row r="136" spans="2:21" ht="15.75" hidden="1" x14ac:dyDescent="0.25">
      <c r="B136" s="1217"/>
      <c r="C136" s="273"/>
      <c r="D136" s="273"/>
      <c r="E136" s="273"/>
      <c r="F136" s="273"/>
      <c r="G136" s="273"/>
      <c r="H136" s="273"/>
      <c r="I136" s="273"/>
      <c r="J136" s="273"/>
      <c r="K136" s="273"/>
      <c r="L136" s="273"/>
      <c r="M136" s="273"/>
      <c r="N136" s="273"/>
      <c r="O136" s="273"/>
      <c r="P136" s="273"/>
      <c r="Q136" s="273"/>
      <c r="R136" s="273"/>
      <c r="S136" s="273"/>
      <c r="T136" s="273"/>
      <c r="U136" s="273"/>
    </row>
    <row r="137" spans="2:21" ht="15.75" hidden="1" x14ac:dyDescent="0.25">
      <c r="B137" s="1217"/>
      <c r="C137" s="273"/>
      <c r="D137" s="273"/>
      <c r="E137" s="273"/>
      <c r="F137" s="273"/>
      <c r="G137" s="273"/>
      <c r="H137" s="273"/>
      <c r="I137" s="273"/>
      <c r="J137" s="273"/>
      <c r="K137" s="273"/>
      <c r="L137" s="273"/>
      <c r="M137" s="273"/>
      <c r="N137" s="273"/>
      <c r="O137" s="273"/>
      <c r="P137" s="273"/>
      <c r="Q137" s="273"/>
      <c r="R137" s="273"/>
      <c r="S137" s="273"/>
      <c r="T137" s="273"/>
      <c r="U137" s="273"/>
    </row>
    <row r="138" spans="2:21" ht="15.75" hidden="1" x14ac:dyDescent="0.25">
      <c r="B138" s="1217"/>
      <c r="C138" s="273"/>
      <c r="D138" s="273"/>
      <c r="E138" s="273"/>
      <c r="F138" s="273"/>
      <c r="G138" s="273"/>
      <c r="H138" s="273"/>
      <c r="I138" s="273"/>
      <c r="J138" s="273"/>
      <c r="K138" s="273"/>
      <c r="L138" s="273"/>
      <c r="M138" s="273"/>
      <c r="N138" s="273"/>
      <c r="O138" s="273"/>
      <c r="P138" s="273"/>
      <c r="Q138" s="273"/>
      <c r="R138" s="273"/>
      <c r="S138" s="273"/>
      <c r="T138" s="273"/>
      <c r="U138" s="273"/>
    </row>
    <row r="139" spans="2:21" ht="15.75" hidden="1" x14ac:dyDescent="0.25">
      <c r="B139" s="1217"/>
      <c r="C139" s="273"/>
      <c r="D139" s="273"/>
      <c r="E139" s="273"/>
      <c r="F139" s="273"/>
      <c r="G139" s="273"/>
      <c r="H139" s="273"/>
      <c r="I139" s="273"/>
      <c r="J139" s="273"/>
      <c r="K139" s="273"/>
      <c r="L139" s="273"/>
      <c r="M139" s="273"/>
      <c r="N139" s="273"/>
      <c r="O139" s="273"/>
      <c r="P139" s="273"/>
      <c r="Q139" s="273"/>
      <c r="R139" s="273"/>
      <c r="S139" s="273"/>
      <c r="T139" s="273"/>
      <c r="U139" s="273"/>
    </row>
    <row r="140" spans="2:21" ht="15.75" hidden="1" x14ac:dyDescent="0.25">
      <c r="B140" s="1217"/>
      <c r="C140" s="273"/>
      <c r="D140" s="273"/>
      <c r="E140" s="273"/>
      <c r="F140" s="273"/>
      <c r="G140" s="273"/>
      <c r="H140" s="273"/>
      <c r="I140" s="273"/>
      <c r="J140" s="273"/>
      <c r="K140" s="273"/>
      <c r="L140" s="273"/>
      <c r="M140" s="273"/>
      <c r="N140" s="273"/>
      <c r="O140" s="273"/>
      <c r="P140" s="273"/>
      <c r="Q140" s="273"/>
      <c r="R140" s="273"/>
      <c r="S140" s="273"/>
      <c r="T140" s="273"/>
      <c r="U140" s="273"/>
    </row>
    <row r="141" spans="2:21" ht="15.75" hidden="1" x14ac:dyDescent="0.25">
      <c r="B141" s="1217"/>
      <c r="C141" s="273"/>
      <c r="D141" s="273"/>
      <c r="E141" s="273"/>
      <c r="F141" s="273"/>
      <c r="G141" s="273"/>
      <c r="H141" s="273"/>
      <c r="I141" s="273"/>
      <c r="J141" s="273"/>
      <c r="K141" s="273"/>
      <c r="L141" s="273"/>
      <c r="M141" s="273"/>
      <c r="N141" s="273"/>
      <c r="O141" s="273"/>
      <c r="P141" s="273"/>
      <c r="Q141" s="273"/>
      <c r="R141" s="273"/>
      <c r="S141" s="273"/>
      <c r="T141" s="273"/>
      <c r="U141" s="273"/>
    </row>
    <row r="142" spans="2:21" ht="15.75" hidden="1" x14ac:dyDescent="0.25">
      <c r="B142" s="1217"/>
      <c r="C142" s="273"/>
      <c r="D142" s="273"/>
      <c r="E142" s="273"/>
      <c r="F142" s="273"/>
      <c r="G142" s="273"/>
      <c r="H142" s="273"/>
      <c r="I142" s="273"/>
      <c r="J142" s="273"/>
      <c r="K142" s="273"/>
      <c r="L142" s="273"/>
      <c r="M142" s="273"/>
      <c r="N142" s="273"/>
      <c r="O142" s="273"/>
      <c r="P142" s="273"/>
      <c r="Q142" s="273"/>
      <c r="R142" s="273"/>
      <c r="S142" s="273"/>
      <c r="T142" s="273"/>
      <c r="U142" s="273"/>
    </row>
    <row r="143" spans="2:21" ht="15.75" hidden="1" x14ac:dyDescent="0.25">
      <c r="B143" s="1217"/>
      <c r="C143" s="273"/>
      <c r="D143" s="273"/>
      <c r="E143" s="273"/>
      <c r="F143" s="273"/>
      <c r="G143" s="273"/>
      <c r="H143" s="273"/>
      <c r="I143" s="273"/>
      <c r="J143" s="273"/>
      <c r="K143" s="273"/>
      <c r="L143" s="273"/>
      <c r="M143" s="273"/>
      <c r="N143" s="273"/>
      <c r="O143" s="273"/>
      <c r="P143" s="273"/>
      <c r="Q143" s="273"/>
      <c r="R143" s="273"/>
      <c r="S143" s="273"/>
      <c r="T143" s="273"/>
      <c r="U143" s="273"/>
    </row>
    <row r="144" spans="2:21" ht="15.75" hidden="1" x14ac:dyDescent="0.25">
      <c r="B144" s="1217"/>
      <c r="C144" s="273"/>
      <c r="D144" s="273"/>
      <c r="E144" s="273"/>
      <c r="F144" s="273"/>
      <c r="G144" s="273"/>
      <c r="H144" s="273"/>
      <c r="I144" s="273"/>
      <c r="J144" s="273"/>
      <c r="K144" s="273"/>
      <c r="L144" s="273"/>
      <c r="M144" s="273"/>
      <c r="N144" s="273"/>
      <c r="O144" s="273"/>
      <c r="P144" s="273"/>
      <c r="Q144" s="273"/>
      <c r="R144" s="273"/>
      <c r="S144" s="273"/>
      <c r="T144" s="273"/>
      <c r="U144" s="273"/>
    </row>
    <row r="145" spans="2:21" ht="15.75" hidden="1" x14ac:dyDescent="0.25">
      <c r="B145" s="1217"/>
      <c r="C145" s="273"/>
      <c r="D145" s="273"/>
      <c r="E145" s="273"/>
      <c r="F145" s="273"/>
      <c r="G145" s="273"/>
      <c r="H145" s="273"/>
      <c r="I145" s="273"/>
      <c r="J145" s="273"/>
      <c r="K145" s="273"/>
      <c r="L145" s="273"/>
      <c r="M145" s="273"/>
      <c r="N145" s="273"/>
      <c r="O145" s="273"/>
      <c r="P145" s="273"/>
      <c r="Q145" s="273"/>
      <c r="R145" s="273"/>
      <c r="S145" s="273"/>
      <c r="T145" s="273"/>
      <c r="U145" s="273"/>
    </row>
    <row r="146" spans="2:21" ht="15.75" hidden="1" x14ac:dyDescent="0.25">
      <c r="B146" s="1217"/>
      <c r="C146" s="273"/>
      <c r="D146" s="273"/>
      <c r="E146" s="273"/>
      <c r="F146" s="273"/>
      <c r="G146" s="273"/>
      <c r="H146" s="273"/>
      <c r="I146" s="273"/>
      <c r="J146" s="273"/>
      <c r="K146" s="273"/>
      <c r="L146" s="273"/>
      <c r="M146" s="273"/>
      <c r="N146" s="273"/>
      <c r="O146" s="273"/>
      <c r="P146" s="273"/>
      <c r="Q146" s="273"/>
      <c r="R146" s="273"/>
      <c r="S146" s="273"/>
      <c r="T146" s="273"/>
      <c r="U146" s="273"/>
    </row>
    <row r="147" spans="2:21" ht="15.75" hidden="1" x14ac:dyDescent="0.25">
      <c r="B147" s="1217"/>
      <c r="C147" s="273"/>
      <c r="D147" s="273"/>
      <c r="E147" s="273"/>
      <c r="F147" s="273"/>
      <c r="G147" s="273"/>
      <c r="H147" s="273"/>
      <c r="I147" s="273"/>
      <c r="J147" s="273"/>
      <c r="K147" s="273"/>
      <c r="L147" s="273"/>
      <c r="M147" s="273"/>
      <c r="N147" s="273"/>
      <c r="O147" s="273"/>
      <c r="P147" s="273"/>
      <c r="Q147" s="273"/>
      <c r="R147" s="273"/>
      <c r="S147" s="273"/>
      <c r="T147" s="273"/>
      <c r="U147" s="273"/>
    </row>
    <row r="148" spans="2:21" ht="15.75" hidden="1" x14ac:dyDescent="0.25">
      <c r="B148" s="1217"/>
      <c r="C148" s="273"/>
      <c r="D148" s="273"/>
      <c r="E148" s="273"/>
      <c r="F148" s="273"/>
      <c r="G148" s="273"/>
      <c r="H148" s="273"/>
      <c r="I148" s="273"/>
      <c r="J148" s="273"/>
      <c r="K148" s="273"/>
      <c r="L148" s="273"/>
      <c r="M148" s="273"/>
      <c r="N148" s="273"/>
      <c r="O148" s="273"/>
      <c r="P148" s="273"/>
      <c r="Q148" s="273"/>
      <c r="R148" s="273"/>
      <c r="S148" s="273"/>
      <c r="T148" s="273"/>
      <c r="U148" s="273"/>
    </row>
    <row r="149" spans="2:21" ht="15.75" hidden="1" x14ac:dyDescent="0.25">
      <c r="B149" s="1217"/>
      <c r="C149" s="273"/>
      <c r="D149" s="273"/>
      <c r="E149" s="273"/>
      <c r="F149" s="273"/>
      <c r="G149" s="273"/>
      <c r="H149" s="273"/>
      <c r="I149" s="273"/>
      <c r="J149" s="273"/>
      <c r="K149" s="273"/>
      <c r="L149" s="273"/>
      <c r="M149" s="273"/>
      <c r="N149" s="273"/>
      <c r="O149" s="273"/>
      <c r="P149" s="273"/>
      <c r="Q149" s="273"/>
      <c r="R149" s="273"/>
      <c r="S149" s="273"/>
      <c r="T149" s="273"/>
      <c r="U149" s="273"/>
    </row>
    <row r="150" spans="2:21" ht="15.75" hidden="1" x14ac:dyDescent="0.25">
      <c r="B150" s="1217"/>
      <c r="C150" s="273"/>
      <c r="D150" s="273"/>
      <c r="E150" s="273"/>
      <c r="F150" s="273"/>
      <c r="G150" s="273"/>
      <c r="H150" s="273"/>
      <c r="I150" s="273"/>
      <c r="J150" s="273"/>
      <c r="K150" s="273"/>
      <c r="L150" s="273"/>
      <c r="M150" s="273"/>
      <c r="N150" s="273"/>
      <c r="O150" s="273"/>
      <c r="P150" s="273"/>
      <c r="Q150" s="273"/>
      <c r="R150" s="273"/>
      <c r="S150" s="273"/>
      <c r="T150" s="273"/>
      <c r="U150" s="273"/>
    </row>
    <row r="151" spans="2:21" ht="15.75" hidden="1" x14ac:dyDescent="0.25">
      <c r="B151" s="1217"/>
      <c r="C151" s="273"/>
      <c r="D151" s="273"/>
      <c r="E151" s="273"/>
      <c r="F151" s="273"/>
      <c r="G151" s="273"/>
      <c r="H151" s="273"/>
      <c r="I151" s="273"/>
      <c r="J151" s="273"/>
      <c r="K151" s="273"/>
      <c r="L151" s="273"/>
      <c r="M151" s="273"/>
      <c r="N151" s="273"/>
      <c r="O151" s="273"/>
      <c r="P151" s="273"/>
      <c r="Q151" s="273"/>
      <c r="R151" s="273"/>
      <c r="S151" s="273"/>
      <c r="T151" s="273"/>
      <c r="U151" s="273"/>
    </row>
    <row r="152" spans="2:21" ht="15.75" hidden="1" x14ac:dyDescent="0.25">
      <c r="B152" s="1217"/>
      <c r="C152" s="273"/>
      <c r="D152" s="273"/>
      <c r="E152" s="273"/>
      <c r="F152" s="273"/>
      <c r="G152" s="273"/>
      <c r="H152" s="273"/>
      <c r="I152" s="273"/>
      <c r="J152" s="273"/>
      <c r="K152" s="273"/>
      <c r="L152" s="273"/>
      <c r="M152" s="273"/>
      <c r="N152" s="273"/>
      <c r="O152" s="273"/>
      <c r="P152" s="273"/>
      <c r="Q152" s="273"/>
      <c r="R152" s="273"/>
      <c r="S152" s="273"/>
      <c r="T152" s="273"/>
      <c r="U152" s="273"/>
    </row>
    <row r="153" spans="2:21" ht="15.75" hidden="1" x14ac:dyDescent="0.25">
      <c r="B153" s="1217"/>
      <c r="C153" s="273"/>
      <c r="D153" s="273"/>
      <c r="E153" s="273"/>
      <c r="F153" s="273"/>
      <c r="G153" s="273"/>
      <c r="H153" s="273"/>
      <c r="I153" s="273"/>
      <c r="J153" s="273"/>
      <c r="K153" s="273"/>
      <c r="L153" s="273"/>
      <c r="M153" s="273"/>
      <c r="N153" s="273"/>
      <c r="O153" s="273"/>
      <c r="P153" s="273"/>
      <c r="Q153" s="273"/>
      <c r="R153" s="273"/>
      <c r="S153" s="273"/>
      <c r="T153" s="273"/>
      <c r="U153" s="273"/>
    </row>
    <row r="154" spans="2:21" ht="15.75" hidden="1" x14ac:dyDescent="0.25">
      <c r="B154" s="1217"/>
      <c r="C154" s="273"/>
      <c r="D154" s="273"/>
      <c r="E154" s="273"/>
      <c r="F154" s="273"/>
      <c r="G154" s="273"/>
      <c r="H154" s="273"/>
      <c r="I154" s="273"/>
      <c r="J154" s="273"/>
      <c r="K154" s="273"/>
      <c r="L154" s="273"/>
      <c r="M154" s="273"/>
      <c r="N154" s="273"/>
      <c r="O154" s="273"/>
      <c r="P154" s="273"/>
      <c r="Q154" s="273"/>
      <c r="R154" s="273"/>
      <c r="S154" s="273"/>
      <c r="T154" s="273"/>
      <c r="U154" s="273"/>
    </row>
    <row r="155" spans="2:21" ht="15.75" hidden="1" x14ac:dyDescent="0.25">
      <c r="B155" s="1217"/>
      <c r="C155" s="273"/>
      <c r="D155" s="273"/>
      <c r="E155" s="273"/>
      <c r="F155" s="273"/>
      <c r="G155" s="273"/>
      <c r="H155" s="273"/>
      <c r="I155" s="273"/>
      <c r="J155" s="273"/>
      <c r="K155" s="273"/>
      <c r="L155" s="273"/>
      <c r="M155" s="273"/>
      <c r="N155" s="273"/>
      <c r="O155" s="273"/>
      <c r="P155" s="273"/>
      <c r="Q155" s="273"/>
      <c r="R155" s="273"/>
      <c r="S155" s="273"/>
      <c r="T155" s="273"/>
      <c r="U155" s="273"/>
    </row>
    <row r="156" spans="2:21" ht="15.75" hidden="1" x14ac:dyDescent="0.25">
      <c r="B156" s="1217"/>
      <c r="C156" s="273"/>
      <c r="D156" s="273"/>
      <c r="E156" s="273"/>
      <c r="F156" s="273"/>
      <c r="G156" s="273"/>
      <c r="H156" s="273"/>
      <c r="I156" s="273"/>
      <c r="J156" s="273"/>
      <c r="K156" s="273"/>
      <c r="L156" s="273"/>
      <c r="M156" s="273"/>
      <c r="N156" s="273"/>
      <c r="O156" s="273"/>
      <c r="P156" s="273"/>
      <c r="Q156" s="273"/>
      <c r="R156" s="273"/>
      <c r="S156" s="273"/>
      <c r="T156" s="273"/>
      <c r="U156" s="273"/>
    </row>
    <row r="157" spans="2:21" ht="15.75" hidden="1" x14ac:dyDescent="0.25">
      <c r="B157" s="1217"/>
      <c r="C157" s="273"/>
      <c r="D157" s="273"/>
      <c r="E157" s="273"/>
      <c r="F157" s="273"/>
      <c r="G157" s="273"/>
      <c r="H157" s="273"/>
      <c r="I157" s="273"/>
      <c r="J157" s="273"/>
      <c r="K157" s="273"/>
      <c r="L157" s="273"/>
      <c r="M157" s="273"/>
      <c r="N157" s="273"/>
      <c r="O157" s="273"/>
      <c r="P157" s="273"/>
      <c r="Q157" s="273"/>
      <c r="R157" s="273"/>
      <c r="S157" s="273"/>
      <c r="T157" s="273"/>
      <c r="U157" s="273"/>
    </row>
    <row r="158" spans="2:21" ht="15.75" hidden="1" x14ac:dyDescent="0.25">
      <c r="B158" s="1217"/>
      <c r="C158" s="273"/>
      <c r="D158" s="273"/>
      <c r="E158" s="273"/>
      <c r="F158" s="273"/>
      <c r="G158" s="273"/>
      <c r="H158" s="273"/>
      <c r="I158" s="273"/>
      <c r="J158" s="273"/>
      <c r="K158" s="273"/>
      <c r="L158" s="273"/>
      <c r="M158" s="273"/>
      <c r="N158" s="273"/>
      <c r="O158" s="273"/>
      <c r="P158" s="273"/>
      <c r="Q158" s="273"/>
      <c r="R158" s="273"/>
      <c r="S158" s="273"/>
      <c r="T158" s="273"/>
      <c r="U158" s="273"/>
    </row>
    <row r="159" spans="2:21" ht="15.75" hidden="1" x14ac:dyDescent="0.25">
      <c r="B159" s="1217"/>
      <c r="C159" s="273"/>
      <c r="D159" s="273"/>
      <c r="E159" s="273"/>
      <c r="F159" s="273"/>
      <c r="G159" s="273"/>
      <c r="H159" s="273"/>
      <c r="I159" s="273"/>
      <c r="J159" s="273"/>
      <c r="K159" s="273"/>
      <c r="L159" s="273"/>
      <c r="M159" s="273"/>
      <c r="N159" s="273"/>
      <c r="O159" s="273"/>
      <c r="P159" s="273"/>
      <c r="Q159" s="273"/>
      <c r="R159" s="273"/>
      <c r="S159" s="273"/>
      <c r="T159" s="273"/>
      <c r="U159" s="273"/>
    </row>
    <row r="160" spans="2:21" ht="15.75" hidden="1" x14ac:dyDescent="0.25">
      <c r="B160" s="1217"/>
      <c r="C160" s="273"/>
      <c r="D160" s="273"/>
      <c r="E160" s="273"/>
      <c r="F160" s="273"/>
      <c r="G160" s="273"/>
      <c r="H160" s="273"/>
      <c r="I160" s="273"/>
      <c r="J160" s="273"/>
      <c r="K160" s="273"/>
      <c r="L160" s="273"/>
      <c r="M160" s="273"/>
      <c r="N160" s="273"/>
      <c r="O160" s="273"/>
      <c r="P160" s="273"/>
      <c r="Q160" s="273"/>
      <c r="R160" s="273"/>
      <c r="S160" s="273"/>
      <c r="T160" s="273"/>
      <c r="U160" s="273"/>
    </row>
    <row r="161" spans="2:21" ht="15.75" hidden="1" x14ac:dyDescent="0.25">
      <c r="B161" s="1217"/>
      <c r="C161" s="273"/>
      <c r="D161" s="273"/>
      <c r="E161" s="273"/>
      <c r="F161" s="273"/>
      <c r="G161" s="273"/>
      <c r="H161" s="273"/>
      <c r="I161" s="273"/>
      <c r="J161" s="273"/>
      <c r="K161" s="273"/>
      <c r="L161" s="273"/>
      <c r="M161" s="273"/>
      <c r="N161" s="273"/>
      <c r="O161" s="273"/>
      <c r="P161" s="273"/>
      <c r="Q161" s="273"/>
      <c r="R161" s="273"/>
      <c r="S161" s="273"/>
      <c r="T161" s="273"/>
      <c r="U161" s="273"/>
    </row>
    <row r="162" spans="2:21" ht="15.75" hidden="1" x14ac:dyDescent="0.25">
      <c r="B162" s="1217"/>
      <c r="C162" s="273"/>
      <c r="D162" s="273"/>
      <c r="E162" s="273"/>
      <c r="F162" s="273"/>
      <c r="G162" s="273"/>
      <c r="H162" s="273"/>
      <c r="I162" s="273"/>
      <c r="J162" s="273"/>
      <c r="K162" s="273"/>
      <c r="L162" s="273"/>
      <c r="M162" s="273"/>
      <c r="N162" s="273"/>
      <c r="O162" s="273"/>
      <c r="P162" s="273"/>
      <c r="Q162" s="273"/>
      <c r="R162" s="273"/>
      <c r="S162" s="273"/>
      <c r="T162" s="273"/>
      <c r="U162" s="273"/>
    </row>
    <row r="163" spans="2:21" ht="15.75" hidden="1" x14ac:dyDescent="0.25">
      <c r="B163" s="1217"/>
      <c r="C163" s="273"/>
      <c r="D163" s="273"/>
      <c r="E163" s="273"/>
      <c r="F163" s="273"/>
      <c r="G163" s="273"/>
      <c r="H163" s="273"/>
      <c r="I163" s="273"/>
      <c r="J163" s="273"/>
      <c r="K163" s="273"/>
      <c r="L163" s="273"/>
      <c r="M163" s="273"/>
      <c r="N163" s="273"/>
      <c r="O163" s="273"/>
      <c r="P163" s="273"/>
      <c r="Q163" s="273"/>
      <c r="R163" s="273"/>
      <c r="S163" s="273"/>
      <c r="T163" s="273"/>
      <c r="U163" s="273"/>
    </row>
    <row r="164" spans="2:21" ht="15.75" hidden="1" x14ac:dyDescent="0.25">
      <c r="B164" s="1217"/>
      <c r="C164" s="273"/>
      <c r="D164" s="273"/>
      <c r="E164" s="273"/>
      <c r="F164" s="273"/>
      <c r="G164" s="273"/>
      <c r="H164" s="273"/>
      <c r="I164" s="273"/>
      <c r="J164" s="273"/>
      <c r="K164" s="273"/>
      <c r="L164" s="273"/>
      <c r="M164" s="273"/>
      <c r="N164" s="273"/>
      <c r="O164" s="273"/>
      <c r="P164" s="273"/>
      <c r="Q164" s="273"/>
      <c r="R164" s="273"/>
      <c r="S164" s="273"/>
      <c r="T164" s="273"/>
      <c r="U164" s="273"/>
    </row>
    <row r="165" spans="2:21" ht="15.75" hidden="1" x14ac:dyDescent="0.25">
      <c r="B165" s="1217"/>
      <c r="C165" s="273"/>
      <c r="D165" s="273"/>
      <c r="E165" s="273"/>
      <c r="F165" s="273"/>
      <c r="G165" s="273"/>
      <c r="H165" s="273"/>
      <c r="I165" s="273"/>
      <c r="J165" s="273"/>
      <c r="K165" s="273"/>
      <c r="L165" s="273"/>
      <c r="M165" s="273"/>
      <c r="N165" s="273"/>
      <c r="O165" s="273"/>
      <c r="P165" s="273"/>
      <c r="Q165" s="273"/>
      <c r="R165" s="273"/>
      <c r="S165" s="273"/>
      <c r="T165" s="273"/>
      <c r="U165" s="273"/>
    </row>
    <row r="166" spans="2:21" ht="15.75" hidden="1" x14ac:dyDescent="0.25">
      <c r="B166" s="1217"/>
      <c r="C166" s="273"/>
      <c r="D166" s="273"/>
      <c r="E166" s="273"/>
      <c r="F166" s="273"/>
      <c r="G166" s="273"/>
      <c r="H166" s="273"/>
      <c r="I166" s="273"/>
      <c r="J166" s="273"/>
      <c r="K166" s="273"/>
      <c r="L166" s="273"/>
      <c r="M166" s="273"/>
      <c r="N166" s="273"/>
      <c r="O166" s="273"/>
      <c r="P166" s="273"/>
      <c r="Q166" s="273"/>
      <c r="R166" s="273"/>
      <c r="S166" s="273"/>
      <c r="T166" s="273"/>
      <c r="U166" s="273"/>
    </row>
    <row r="167" spans="2:21" ht="15.75" hidden="1" x14ac:dyDescent="0.25">
      <c r="B167" s="1217"/>
      <c r="C167" s="273"/>
      <c r="D167" s="273"/>
      <c r="E167" s="273"/>
      <c r="F167" s="273"/>
      <c r="G167" s="273"/>
      <c r="H167" s="273"/>
      <c r="I167" s="273"/>
      <c r="J167" s="273"/>
      <c r="K167" s="273"/>
      <c r="L167" s="273"/>
      <c r="M167" s="273"/>
      <c r="N167" s="273"/>
      <c r="O167" s="273"/>
      <c r="P167" s="273"/>
      <c r="Q167" s="273"/>
      <c r="R167" s="273"/>
      <c r="S167" s="273"/>
      <c r="T167" s="273"/>
      <c r="U167" s="273"/>
    </row>
    <row r="168" spans="2:21" ht="15.75" hidden="1" x14ac:dyDescent="0.25">
      <c r="B168" s="1217"/>
      <c r="C168" s="273"/>
      <c r="D168" s="273"/>
      <c r="E168" s="273"/>
      <c r="F168" s="273"/>
      <c r="G168" s="273"/>
      <c r="H168" s="273"/>
      <c r="I168" s="273"/>
      <c r="J168" s="273"/>
      <c r="K168" s="273"/>
      <c r="L168" s="273"/>
      <c r="M168" s="273"/>
      <c r="N168" s="273"/>
      <c r="O168" s="273"/>
      <c r="P168" s="273"/>
      <c r="Q168" s="273"/>
      <c r="R168" s="273"/>
      <c r="S168" s="273"/>
      <c r="T168" s="273"/>
      <c r="U168" s="273"/>
    </row>
    <row r="169" spans="2:21" ht="15.75" hidden="1" x14ac:dyDescent="0.25">
      <c r="B169" s="1217"/>
      <c r="C169" s="273"/>
      <c r="D169" s="273"/>
      <c r="E169" s="273"/>
      <c r="F169" s="273"/>
      <c r="G169" s="273"/>
      <c r="H169" s="273"/>
      <c r="I169" s="273"/>
      <c r="J169" s="273"/>
      <c r="K169" s="273"/>
      <c r="L169" s="273"/>
      <c r="M169" s="273"/>
      <c r="N169" s="273"/>
      <c r="O169" s="273"/>
      <c r="P169" s="273"/>
      <c r="Q169" s="273"/>
      <c r="R169" s="273"/>
      <c r="S169" s="273"/>
      <c r="T169" s="273"/>
      <c r="U169" s="273"/>
    </row>
    <row r="170" spans="2:21" ht="15.75" hidden="1" x14ac:dyDescent="0.25">
      <c r="B170" s="1217"/>
      <c r="C170" s="273"/>
      <c r="D170" s="273"/>
      <c r="E170" s="273"/>
      <c r="F170" s="273"/>
      <c r="G170" s="273"/>
      <c r="H170" s="273"/>
      <c r="I170" s="273"/>
      <c r="J170" s="273"/>
      <c r="K170" s="273"/>
      <c r="L170" s="273"/>
      <c r="M170" s="273"/>
      <c r="N170" s="273"/>
      <c r="O170" s="273"/>
      <c r="P170" s="273"/>
      <c r="Q170" s="273"/>
      <c r="R170" s="273"/>
      <c r="S170" s="273"/>
      <c r="T170" s="273"/>
      <c r="U170" s="273"/>
    </row>
    <row r="171" spans="2:21" ht="15.75" hidden="1" x14ac:dyDescent="0.25">
      <c r="B171" s="1217"/>
      <c r="C171" s="273"/>
      <c r="D171" s="273"/>
      <c r="E171" s="273"/>
      <c r="F171" s="273"/>
      <c r="G171" s="273"/>
      <c r="H171" s="273"/>
      <c r="I171" s="273"/>
      <c r="J171" s="273"/>
      <c r="K171" s="273"/>
      <c r="L171" s="273"/>
      <c r="M171" s="273"/>
      <c r="N171" s="273"/>
      <c r="O171" s="273"/>
      <c r="P171" s="273"/>
      <c r="Q171" s="273"/>
      <c r="R171" s="273"/>
      <c r="S171" s="273"/>
      <c r="T171" s="273"/>
      <c r="U171" s="273"/>
    </row>
    <row r="172" spans="2:21" ht="15.75" hidden="1" x14ac:dyDescent="0.25">
      <c r="B172" s="1217"/>
      <c r="C172" s="273"/>
      <c r="D172" s="273"/>
      <c r="E172" s="273"/>
      <c r="F172" s="273"/>
      <c r="G172" s="273"/>
      <c r="H172" s="273"/>
      <c r="I172" s="273"/>
      <c r="J172" s="273"/>
      <c r="K172" s="273"/>
      <c r="L172" s="273"/>
      <c r="M172" s="273"/>
      <c r="N172" s="273"/>
      <c r="O172" s="273"/>
      <c r="P172" s="273"/>
      <c r="Q172" s="273"/>
      <c r="R172" s="273"/>
      <c r="S172" s="273"/>
      <c r="T172" s="273"/>
      <c r="U172" s="273"/>
    </row>
    <row r="173" spans="2:21" ht="15.75" hidden="1" x14ac:dyDescent="0.25">
      <c r="B173" s="1217"/>
      <c r="C173" s="273"/>
      <c r="D173" s="273"/>
      <c r="E173" s="273"/>
      <c r="F173" s="273"/>
      <c r="G173" s="273"/>
      <c r="H173" s="273"/>
      <c r="I173" s="273"/>
      <c r="J173" s="273"/>
      <c r="K173" s="273"/>
      <c r="L173" s="273"/>
      <c r="M173" s="273"/>
      <c r="N173" s="273"/>
      <c r="O173" s="273"/>
      <c r="P173" s="273"/>
      <c r="Q173" s="273"/>
      <c r="R173" s="273"/>
      <c r="S173" s="273"/>
      <c r="T173" s="273"/>
      <c r="U173" s="273"/>
    </row>
    <row r="174" spans="2:21" ht="15.75" hidden="1" x14ac:dyDescent="0.25">
      <c r="B174" s="1217"/>
      <c r="C174" s="273"/>
      <c r="D174" s="273"/>
      <c r="E174" s="273"/>
      <c r="F174" s="273"/>
      <c r="G174" s="273"/>
      <c r="H174" s="273"/>
      <c r="I174" s="273"/>
      <c r="J174" s="273"/>
      <c r="K174" s="273"/>
      <c r="L174" s="273"/>
      <c r="M174" s="273"/>
      <c r="N174" s="273"/>
      <c r="O174" s="273"/>
      <c r="P174" s="273"/>
      <c r="Q174" s="273"/>
      <c r="R174" s="273"/>
      <c r="S174" s="273"/>
      <c r="T174" s="273"/>
      <c r="U174" s="273"/>
    </row>
    <row r="175" spans="2:21" ht="15.75" hidden="1" x14ac:dyDescent="0.25">
      <c r="B175" s="1217"/>
      <c r="C175" s="273"/>
      <c r="D175" s="273"/>
      <c r="E175" s="273"/>
      <c r="F175" s="273"/>
      <c r="G175" s="273"/>
      <c r="H175" s="273"/>
      <c r="I175" s="273"/>
      <c r="J175" s="273"/>
      <c r="K175" s="273"/>
      <c r="L175" s="273"/>
      <c r="M175" s="273"/>
      <c r="N175" s="273"/>
      <c r="O175" s="273"/>
      <c r="P175" s="273"/>
      <c r="Q175" s="273"/>
      <c r="R175" s="273"/>
      <c r="S175" s="273"/>
      <c r="T175" s="273"/>
      <c r="U175" s="273"/>
    </row>
    <row r="176" spans="2:21" ht="15.75" hidden="1" x14ac:dyDescent="0.25">
      <c r="B176" s="1217"/>
      <c r="C176" s="273"/>
      <c r="D176" s="273"/>
      <c r="E176" s="273"/>
      <c r="F176" s="273"/>
      <c r="G176" s="273"/>
      <c r="H176" s="273"/>
      <c r="I176" s="273"/>
      <c r="J176" s="273"/>
      <c r="K176" s="273"/>
      <c r="L176" s="273"/>
      <c r="M176" s="273"/>
      <c r="N176" s="273"/>
      <c r="O176" s="273"/>
      <c r="P176" s="273"/>
      <c r="Q176" s="273"/>
      <c r="R176" s="273"/>
      <c r="S176" s="273"/>
      <c r="T176" s="273"/>
      <c r="U176" s="273"/>
    </row>
    <row r="177" spans="2:21" ht="15.75" hidden="1" x14ac:dyDescent="0.25">
      <c r="B177" s="1217"/>
      <c r="C177" s="273"/>
      <c r="D177" s="273"/>
      <c r="E177" s="273"/>
      <c r="F177" s="273"/>
      <c r="G177" s="273"/>
      <c r="H177" s="273"/>
      <c r="I177" s="273"/>
      <c r="J177" s="273"/>
      <c r="K177" s="273"/>
      <c r="L177" s="273"/>
      <c r="M177" s="273"/>
      <c r="N177" s="273"/>
      <c r="O177" s="273"/>
      <c r="P177" s="273"/>
      <c r="Q177" s="273"/>
      <c r="R177" s="273"/>
      <c r="S177" s="273"/>
      <c r="T177" s="273"/>
      <c r="U177" s="273"/>
    </row>
    <row r="178" spans="2:21" ht="15.75" hidden="1" x14ac:dyDescent="0.25">
      <c r="B178" s="1217"/>
      <c r="C178" s="273"/>
      <c r="D178" s="273"/>
      <c r="E178" s="273"/>
      <c r="F178" s="273"/>
      <c r="G178" s="273"/>
      <c r="H178" s="273"/>
      <c r="I178" s="273"/>
      <c r="J178" s="273"/>
      <c r="K178" s="273"/>
      <c r="L178" s="273"/>
      <c r="M178" s="273"/>
      <c r="N178" s="273"/>
      <c r="O178" s="273"/>
      <c r="P178" s="273"/>
      <c r="Q178" s="273"/>
      <c r="R178" s="273"/>
      <c r="S178" s="273"/>
      <c r="T178" s="273"/>
      <c r="U178" s="273"/>
    </row>
    <row r="179" spans="2:21" hidden="1" x14ac:dyDescent="0.25"/>
    <row r="180" spans="2:21" hidden="1" x14ac:dyDescent="0.25"/>
    <row r="181" spans="2:21" hidden="1" x14ac:dyDescent="0.25"/>
    <row r="182" spans="2:21" hidden="1" x14ac:dyDescent="0.25"/>
    <row r="183" spans="2:21" hidden="1" x14ac:dyDescent="0.25"/>
    <row r="184" spans="2:21" hidden="1" x14ac:dyDescent="0.25"/>
    <row r="185" spans="2:21" hidden="1" x14ac:dyDescent="0.25"/>
    <row r="186" spans="2:21" hidden="1" x14ac:dyDescent="0.25"/>
    <row r="187" spans="2:21" hidden="1" x14ac:dyDescent="0.25"/>
    <row r="188" spans="2:21" hidden="1" x14ac:dyDescent="0.25"/>
    <row r="189" spans="2:21" ht="15" hidden="1" customHeight="1" x14ac:dyDescent="0.25"/>
    <row r="190" spans="2:21" ht="15" hidden="1" customHeight="1" x14ac:dyDescent="0.25"/>
    <row r="191" spans="2:21" ht="15" hidden="1" customHeight="1" x14ac:dyDescent="0.25"/>
    <row r="192" spans="2:21"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sheetData>
  <sheetProtection algorithmName="SHA-512" hashValue="q8sxA652QWGkIo9XjagoLwapfENXd4m8qCsULtSGfB0fDqAQ0rp7pb5Wxpi3gjcIn5uOjSMwIrYzr2f5N+PRuA==" saltValue="1uKwhvRaIkxvdf2MsVv7Wg==" spinCount="100000" sheet="1" objects="1" scenarios="1"/>
  <mergeCells count="77">
    <mergeCell ref="H30:P30"/>
    <mergeCell ref="A1:Q1"/>
    <mergeCell ref="A2:Q3"/>
    <mergeCell ref="C5:F5"/>
    <mergeCell ref="H5:P5"/>
    <mergeCell ref="C6:F6"/>
    <mergeCell ref="H6:P6"/>
    <mergeCell ref="C7:F7"/>
    <mergeCell ref="H7:P7"/>
    <mergeCell ref="C10:F10"/>
    <mergeCell ref="H10:P10"/>
    <mergeCell ref="C11:F11"/>
    <mergeCell ref="H11:P11"/>
    <mergeCell ref="H8:P8"/>
    <mergeCell ref="H9:P9"/>
    <mergeCell ref="H23:P23"/>
    <mergeCell ref="H24:P24"/>
    <mergeCell ref="H28:P28"/>
    <mergeCell ref="C13:F13"/>
    <mergeCell ref="H13:P13"/>
    <mergeCell ref="C15:F15"/>
    <mergeCell ref="H15:P15"/>
    <mergeCell ref="C17:F17"/>
    <mergeCell ref="H17:P17"/>
    <mergeCell ref="H16:P16"/>
    <mergeCell ref="H14:P14"/>
    <mergeCell ref="H18:P18"/>
    <mergeCell ref="H21:P21"/>
    <mergeCell ref="H20:P20"/>
    <mergeCell ref="H22:P22"/>
    <mergeCell ref="C19:F19"/>
    <mergeCell ref="C20:F20"/>
    <mergeCell ref="H29:P29"/>
    <mergeCell ref="C25:F25"/>
    <mergeCell ref="H25:P25"/>
    <mergeCell ref="C26:F26"/>
    <mergeCell ref="H26:P26"/>
    <mergeCell ref="C27:F27"/>
    <mergeCell ref="H27:P27"/>
    <mergeCell ref="H37:P37"/>
    <mergeCell ref="C38:F38"/>
    <mergeCell ref="H38:P38"/>
    <mergeCell ref="H43:P43"/>
    <mergeCell ref="C31:F31"/>
    <mergeCell ref="H31:P31"/>
    <mergeCell ref="C32:F32"/>
    <mergeCell ref="C33:F33"/>
    <mergeCell ref="H36:P36"/>
    <mergeCell ref="H41:P41"/>
    <mergeCell ref="C44:F44"/>
    <mergeCell ref="H44:P44"/>
    <mergeCell ref="C8:F8"/>
    <mergeCell ref="C9:F9"/>
    <mergeCell ref="C12:F12"/>
    <mergeCell ref="H12:P12"/>
    <mergeCell ref="C14:F14"/>
    <mergeCell ref="C16:F16"/>
    <mergeCell ref="C39:F39"/>
    <mergeCell ref="H39:P39"/>
    <mergeCell ref="C40:F40"/>
    <mergeCell ref="H40:P40"/>
    <mergeCell ref="C41:F41"/>
    <mergeCell ref="C42:F42"/>
    <mergeCell ref="H42:P42"/>
    <mergeCell ref="C18:F18"/>
    <mergeCell ref="C21:F21"/>
    <mergeCell ref="C43:F43"/>
    <mergeCell ref="C36:F36"/>
    <mergeCell ref="C35:F35"/>
    <mergeCell ref="C30:F30"/>
    <mergeCell ref="C34:F34"/>
    <mergeCell ref="C28:F28"/>
    <mergeCell ref="C22:F22"/>
    <mergeCell ref="C37:F37"/>
    <mergeCell ref="C29:F29"/>
    <mergeCell ref="C23:F23"/>
    <mergeCell ref="C24:F24"/>
  </mergeCells>
  <hyperlinks>
    <hyperlink ref="C6" location="'E-1 Passive Design'!A1" tooltip="E-1 Passive design" display="E-1 Passive design" xr:uid="{00000000-0004-0000-3A00-000000000000}"/>
    <hyperlink ref="C13:D13" location="'W-1 Water Efficient Fixtures'!A1" tooltip="W-1 Water Efficient Fixtures" display="W-1 Water Efficient Fixtures" xr:uid="{00000000-0004-0000-3A00-000001000000}"/>
    <hyperlink ref="E13:F13" location="'W-1 Water Efficient Fixtures'!A1" tooltip="W-1 Water Efficient Fixtures" display="W-1 Water Efficient Fixtures" xr:uid="{00000000-0004-0000-3A00-000002000000}"/>
    <hyperlink ref="E17:F17" location="'M-1 Building Structure'!A1" tooltip="M-1 Building Structure" display="M-1 Building Structure" xr:uid="{00000000-0004-0000-3A00-000003000000}"/>
    <hyperlink ref="C25" location="'H-2 Ventilation in wet areas'!A1" tooltip="H-2 Ventilation in Wet Areas" display="H-2 Ventilation in Wet Areas" xr:uid="{00000000-0004-0000-3A00-000004000000}"/>
    <hyperlink ref="E25" location="'H-2 Ventilation in wet areas'!A1" tooltip="H-2 Ventilation in Wet Areas" display="H-2 Ventilation in Wet Areas" xr:uid="{00000000-0004-0000-3A00-000005000000}"/>
    <hyperlink ref="C26" location="'H-3 Hazardous Materials'!A1" tooltip="H-3 Hazardous Materials" display="H-3 Hazardous Materials" xr:uid="{00000000-0004-0000-3A00-000006000000}"/>
    <hyperlink ref="E26" location="'H-3 Hazardous Materials'!A1" tooltip="H-3 Hazardous Materials" display="H-3 Hazardous Materials" xr:uid="{00000000-0004-0000-3A00-000007000000}"/>
    <hyperlink ref="C43:F43" location="'Inn-1 Exceptional Performance '!B3" tooltip="Inn-1 Exceptional Performance Enhancement" display="Exceptional Performance Enhancement" xr:uid="{00000000-0004-0000-3A00-000008000000}"/>
    <hyperlink ref="C44:F44" location="'Inn-2 Innovative Techniques'!B3" tooltip="Inn-2 Innovative techniques/initiative" display="Innovative techniques/initiative" xr:uid="{00000000-0004-0000-3A00-000009000000}"/>
    <hyperlink ref="C7" location="'E-4 Artificial Lighting'!A1" tooltip="E-4 Artificial Lighting" display="E-4 Artificial Lighting" xr:uid="{00000000-0004-0000-3A00-00000A000000}"/>
    <hyperlink ref="E7" location="'E-4 Artificial Lighting'!A1" tooltip="E-4 Artificial Lighting" display="E-4 Artificial Lighting" xr:uid="{00000000-0004-0000-3A00-00000B000000}"/>
    <hyperlink ref="C10" location="'E-6 Energy Efficient Appliances'!A1" tooltip="E-6 Energy Efficient Appliances" display="E-6 Energy Efficient Appliances" xr:uid="{00000000-0004-0000-3A00-00000C000000}"/>
    <hyperlink ref="E10" location="'E-6 Energy Efficient Appliances'!A1" tooltip="E-6 Energy Efficient Appliances" display="E-6 Energy Efficient Appliances" xr:uid="{00000000-0004-0000-3A00-00000D000000}"/>
    <hyperlink ref="C11" location="'E-7 Energy Monitors '!A1" tooltip="E-7 Energy Monitors " display="E-7 Energy Monitors " xr:uid="{00000000-0004-0000-3A00-00000E000000}"/>
    <hyperlink ref="E11" location="'E-7 Energy Monitors '!A1" tooltip="E-7 Energy Monitors " display="E-7 Energy Monitors " xr:uid="{00000000-0004-0000-3A00-00000F000000}"/>
    <hyperlink ref="C15:D15" location="'W-3 Drinking Water '!A1" tooltip="W-3 Drinking Water " display="W-3 Drinking Water " xr:uid="{00000000-0004-0000-3A00-000010000000}"/>
    <hyperlink ref="E15:F15" location="'W-3 Drinking Water '!A1" tooltip="W-3 Drinking Water " display="W-3 Drinking Water " xr:uid="{00000000-0004-0000-3A00-000011000000}"/>
    <hyperlink ref="E22:F22" location="'M-1 Building Structure'!A1" tooltip="M-1 Building Structure" display="M-1 Building Structure" xr:uid="{00000000-0004-0000-3A00-000012000000}"/>
    <hyperlink ref="C25:F25" location="'H-3 CO2 Monitoring'!B3" tooltip="H-3 CO2 Monitoring" display="CO2 Monitoring" xr:uid="{00000000-0004-0000-3A00-000013000000}"/>
    <hyperlink ref="C26:F26" location="'H-4 Low-VOC Emissions'!B3" tooltip="H-4 Low-VOC Emissions" display="Low-VOC Emissions" xr:uid="{00000000-0004-0000-3A00-000014000000}"/>
    <hyperlink ref="C6:F6" location="'E-1 Passive Design'!B3" tooltip="E-1 Space cooling" display="Passive Design" xr:uid="{00000000-0004-0000-3A00-000015000000}"/>
    <hyperlink ref="C7:F7" location="'E-2 Building Envelope'!B3" tooltip="E-2 Building Envelope" display="Building Envelope" xr:uid="{00000000-0004-0000-3A00-000016000000}"/>
    <hyperlink ref="C10:F10" location="'E-5 Energy Efficient Appliances'!B3" tooltip="E-5 Energy Efficient Appliances" display="Energy Efficient Appliances" xr:uid="{00000000-0004-0000-3A00-000017000000}"/>
    <hyperlink ref="C11:F11" location="'E-6 Energy Monitor'!D3" tooltip="E-6 Energy Monitor" display="Energy Monitor" xr:uid="{00000000-0004-0000-3A00-000018000000}"/>
    <hyperlink ref="C22:F22" location="'M-6 Furniture'!B3" tooltip="M-6 Furniture" display="Furniture" xr:uid="{00000000-0004-0000-3A00-000019000000}"/>
    <hyperlink ref="C17:F17" location="'M-1 Structure Materials'!B3" tooltip="M-1 Building Structure Materials" display="Building Structure Materials" xr:uid="{00000000-0004-0000-3A00-00001A000000}"/>
    <hyperlink ref="C15:F15" location="'W-3 Drinking Water '!B3" tooltip="W-3 Drinking Water " display="Drinking Water " xr:uid="{00000000-0004-0000-3A00-00001B000000}"/>
    <hyperlink ref="C13:F13" location="'W-1 Water Efficient Fixtures'!B3" tooltip="W-1 Water Efficient Fixtures" display="Water Efficient Fixtures" xr:uid="{00000000-0004-0000-3A00-00001C000000}"/>
    <hyperlink ref="C8" location="'E-4 Artificial Lighting'!A1" tooltip="E-4 Artificial Lighting" display="E-4 Artificial Lighting" xr:uid="{00000000-0004-0000-3A00-00001D000000}"/>
    <hyperlink ref="E8" location="'E-4 Artificial Lighting'!A1" tooltip="E-4 Artificial Lighting" display="E-4 Artificial Lighting" xr:uid="{00000000-0004-0000-3A00-00001E000000}"/>
    <hyperlink ref="C8:F8" location="'E-3 Building Cooling'!B3" tooltip="E-3 Building Cooling" display="Building Cooling" xr:uid="{00000000-0004-0000-3A00-00001F000000}"/>
    <hyperlink ref="C9" location="'E-4 Artificial Lighting'!A1" tooltip="E-4 Artificial Lighting" display="E-4 Artificial Lighting" xr:uid="{00000000-0004-0000-3A00-000020000000}"/>
    <hyperlink ref="E9" location="'E-4 Artificial Lighting'!A1" tooltip="E-4 Artificial Lighting" display="E-4 Artificial Lighting" xr:uid="{00000000-0004-0000-3A00-000021000000}"/>
    <hyperlink ref="C9:F9" location="'E-4 Artificial Lighting'!B3" tooltip="E-4 Artificial Lighting" display="Artificial Lighting" xr:uid="{00000000-0004-0000-3A00-000022000000}"/>
    <hyperlink ref="C12" location="'E-7 Energy Monitors '!A1" tooltip="E-7 Energy Monitors " display="E-7 Energy Monitors " xr:uid="{00000000-0004-0000-3A00-000023000000}"/>
    <hyperlink ref="E12" location="'E-7 Energy Monitors '!A1" tooltip="E-7 Energy Monitors " display="E-7 Energy Monitors " xr:uid="{00000000-0004-0000-3A00-000024000000}"/>
    <hyperlink ref="C12:F12" location="'Energy BPC'!B3" tooltip="Energy Best Practice Credits" display="Best Practice Credits" xr:uid="{00000000-0004-0000-3A00-000025000000}"/>
    <hyperlink ref="C14:D14" location="'W-1 Water Efficient Fixtures'!A1" tooltip="W-1 Water Efficient Fixtures" display="W-1 Water Efficient Fixtures" xr:uid="{00000000-0004-0000-3A00-000026000000}"/>
    <hyperlink ref="E14:F14" location="'W-1 Water Efficient Fixtures'!A1" tooltip="W-1 Water Efficient Fixtures" display="W-1 Water Efficient Fixtures" xr:uid="{00000000-0004-0000-3A00-000027000000}"/>
    <hyperlink ref="C14:F14" location="'W-2 Water Efficient Landscaping'!B3" tooltip="W-2 Water Efficient Landscaping" display="Water Efficient Landscaping" xr:uid="{00000000-0004-0000-3A00-000028000000}"/>
    <hyperlink ref="C16" location="'E-7 Energy Monitors '!A1" tooltip="E-7 Energy Monitors " display="E-7 Energy Monitors " xr:uid="{00000000-0004-0000-3A00-000029000000}"/>
    <hyperlink ref="E16" location="'E-7 Energy Monitors '!A1" tooltip="E-7 Energy Monitors " display="E-7 Energy Monitors " xr:uid="{00000000-0004-0000-3A00-00002A000000}"/>
    <hyperlink ref="C16:F16" location="'Water BPC'!B3" tooltip="Water Best Practice Credits" display="Best Practice Credits" xr:uid="{00000000-0004-0000-3A00-00002B000000}"/>
    <hyperlink ref="C23" location="'H-1 Fresh Air Supply'!A1" tooltip="H-1 Fresh Air Supply" display="H-1 Fresh Air Supply" xr:uid="{00000000-0004-0000-3A00-00002C000000}"/>
    <hyperlink ref="E23" location="'H-1 Fresh Air Supply'!A1" tooltip="H-1 Fresh Air Supply" display="H-1 Fresh Air Supply" xr:uid="{00000000-0004-0000-3A00-00002D000000}"/>
    <hyperlink ref="C23:F23" location="'H-1 Fresh Air Supply'!B3" tooltip="H-1 Fresh Air Supply" display="Fresh Air Supply" xr:uid="{00000000-0004-0000-3A00-00002E000000}"/>
    <hyperlink ref="C27" location="'H-4 Daylighting'!A1" tooltip="H-4 Daylighting" display="H-4 Daylighting" xr:uid="{00000000-0004-0000-3A00-00002F000000}"/>
    <hyperlink ref="E27" location="'H-4 Daylighting'!A1" tooltip="H-4 Daylighting" display="H-4 Daylighting" xr:uid="{00000000-0004-0000-3A00-000030000000}"/>
    <hyperlink ref="C27:F27" location="'H-5 Daylighting'!B3" tooltip="H-5 Daylighting" display="Daylighting" xr:uid="{00000000-0004-0000-3A00-000031000000}"/>
    <hyperlink ref="C28" location="'H-4 Daylighting'!A1" tooltip="H-4 Daylighting" display="H-4 Daylighting" xr:uid="{00000000-0004-0000-3A00-000032000000}"/>
    <hyperlink ref="E28" location="'H-4 Daylighting'!A1" tooltip="H-4 Daylighting" display="H-4 Daylighting" xr:uid="{00000000-0004-0000-3A00-000033000000}"/>
    <hyperlink ref="C28:F28" location="'H-6 External Views'!B3" tooltip="H-6 External Views" display="External Views" xr:uid="{00000000-0004-0000-3A00-000034000000}"/>
    <hyperlink ref="C29" location="'E-7 Energy Monitors '!A1" tooltip="E-7 Energy Monitors " display="E-7 Energy Monitors " xr:uid="{00000000-0004-0000-3A00-000035000000}"/>
    <hyperlink ref="E29" location="'E-7 Energy Monitors '!A1" tooltip="E-7 Energy Monitors " display="E-7 Energy Monitors " xr:uid="{00000000-0004-0000-3A00-000036000000}"/>
    <hyperlink ref="C29:F29" location="'H&amp;C BPC'!B3" tooltip="H&amp;C Best Practice Credits" display="Best Practice Credits" xr:uid="{00000000-0004-0000-3A00-000037000000}"/>
    <hyperlink ref="C42" location="'E-7 Energy Monitors '!A1" tooltip="E-7 Energy Monitors " display="E-7 Energy Monitors " xr:uid="{00000000-0004-0000-3A00-000038000000}"/>
    <hyperlink ref="E42" location="'E-7 Energy Monitors '!A1" tooltip="E-7 Energy Monitors " display="E-7 Energy Monitors " xr:uid="{00000000-0004-0000-3A00-000039000000}"/>
    <hyperlink ref="C42:F42" location="'CM BPC'!B3" tooltip="CM Best Practice Credits" display="Best Practice Credits" xr:uid="{00000000-0004-0000-3A00-00003A000000}"/>
    <hyperlink ref="C18:F18" location="'M-2 Non-structural Walls'!B3" tooltip="M-2 Non-structural Walls " display="Non-structural Walls " xr:uid="{00000000-0004-0000-3A00-00003B000000}"/>
    <hyperlink ref="C19:F19" location="'M-3 Windows and Doors'!B3" tooltip="M-3 Windows and Doors" display="Windows and Doors" xr:uid="{00000000-0004-0000-3A00-00003C000000}"/>
    <hyperlink ref="C20:F20" location="'M-4 Flooring Materials'!B3" tooltip="M-4 Flooring Materials" display="Flooring Materials" xr:uid="{00000000-0004-0000-3A00-00003D000000}"/>
    <hyperlink ref="C21:F21" location="'M-5 Roofing Materials'!B3" tooltip="M-5 Roofing Materials" display="Roofing Materials" xr:uid="{00000000-0004-0000-3A00-00003E000000}"/>
    <hyperlink ref="C24:F24" location="'H-2 Ventilation in wet areas'!B3" tooltip="H-2 Ventilation in Wet Areas" display="Ventilation in Wet Areas" xr:uid="{00000000-0004-0000-3A00-00003F000000}"/>
    <hyperlink ref="C41:F41" location="'CM-4 Access for PWD'!B3" tooltip="CM-4 Access for People with Disabilities" display="Access for People with Disabilities" xr:uid="{00000000-0004-0000-3A00-000040000000}"/>
    <hyperlink ref="C40:F40" location="'CM-3 Operational Management'!B3" tooltip="CM-3 Operational Management" display="Operational Management" xr:uid="{00000000-0004-0000-3A00-000041000000}"/>
    <hyperlink ref="C39:F39" location="'CM-2 Construction Management'!B3" tooltip="CM-2 Construction Management" display="Construction Management" xr:uid="{00000000-0004-0000-3A00-000042000000}"/>
    <hyperlink ref="C38:F38" location="'CM-1 Design Stage'!B3" tooltip="CM-1 Design Stage" display="Design Stage" xr:uid="{00000000-0004-0000-3A00-000043000000}"/>
    <hyperlink ref="C37:F37" location="'LE-8 Recycling Storage Area'!B3" tooltip="LE-8 Recycling Storage Area " display="Recycling Storage Area " xr:uid="{00000000-0004-0000-3A00-000044000000}"/>
    <hyperlink ref="C36:F36" location="'LE-7 Refrigerants'!B3" tooltip="LE-7 Refrigerants" display="Refrigerants" xr:uid="{00000000-0004-0000-3A00-000045000000}"/>
    <hyperlink ref="C35:F35" location="'LE-6 Flood Risk Mitigation'!B3" tooltip="LE-6 Flood Risk Mitigation  " display="Flood Risk Mitigation  " xr:uid="{00000000-0004-0000-3A00-000046000000}"/>
    <hyperlink ref="C34:F34" location="'LE-5 Storm Water Runoff'!B3" tooltip="LE-5 Stormwater Runoff" display="Stormwater Runoff" xr:uid="{00000000-0004-0000-3A00-000047000000}"/>
    <hyperlink ref="C33:F33" location="'LE-4 Heat Island Effect'!B3" tooltip="LE-4 Heat Island Effect" display="Heat Island Effect" xr:uid="{00000000-0004-0000-3A00-000048000000}"/>
    <hyperlink ref="C32:F32" location="'LE-3 Vegetation'!B3" tooltip="LE-3 Vegetation" display="Vegetation" xr:uid="{00000000-0004-0000-3A00-000049000000}"/>
    <hyperlink ref="C31:F31" location="'LE-2 Site design'!B3" tooltip="LE-2 Site Design" display="Site Design" xr:uid="{00000000-0004-0000-3A00-00004A000000}"/>
    <hyperlink ref="C30:F30" location="'LE-1 Site Selection'!B3" tooltip="LE-1 Site Selection" display="Site Selection" xr:uid="{00000000-0004-0000-3A00-00004B000000}"/>
  </hyperlinks>
  <pageMargins left="0.7" right="0.7" top="0.75" bottom="0.75" header="0.3" footer="0.3"/>
  <pageSetup orientation="portrait" horizontalDpi="300"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Q57"/>
  <sheetViews>
    <sheetView showRowColHeaders="0" zoomScaleNormal="100" workbookViewId="0">
      <pane ySplit="3" topLeftCell="A4" activePane="bottomLeft" state="frozen"/>
      <selection pane="bottomLeft" sqref="A1:J1"/>
    </sheetView>
  </sheetViews>
  <sheetFormatPr defaultColWidth="0" defaultRowHeight="14.25" zeroHeight="1" x14ac:dyDescent="0.2"/>
  <cols>
    <col min="1" max="1" width="4.140625" style="13" customWidth="1"/>
    <col min="2" max="2" width="34.42578125" style="13" customWidth="1"/>
    <col min="3" max="3" width="14.42578125" style="13" customWidth="1"/>
    <col min="4" max="4" width="13.7109375" style="13" customWidth="1"/>
    <col min="5" max="5" width="9.140625" style="13" customWidth="1"/>
    <col min="6" max="6" width="15.7109375" style="13" customWidth="1"/>
    <col min="7" max="8" width="16.5703125" style="13" customWidth="1"/>
    <col min="9" max="9" width="16.7109375" style="13" customWidth="1"/>
    <col min="10" max="10" width="13.7109375" style="13" customWidth="1"/>
    <col min="11" max="16384" width="9.140625" style="13" hidden="1"/>
  </cols>
  <sheetData>
    <row r="1" spans="1:17" ht="33" customHeight="1" x14ac:dyDescent="0.2">
      <c r="A1" s="1348" t="s">
        <v>51</v>
      </c>
      <c r="B1" s="1348"/>
      <c r="C1" s="1348"/>
      <c r="D1" s="1348"/>
      <c r="E1" s="1348"/>
      <c r="F1" s="1348"/>
      <c r="G1" s="1348"/>
      <c r="H1" s="1348"/>
      <c r="I1" s="1348"/>
      <c r="J1" s="1348"/>
      <c r="K1" s="40"/>
      <c r="L1" s="40"/>
      <c r="M1" s="40"/>
      <c r="N1" s="40"/>
      <c r="O1" s="40"/>
      <c r="P1" s="40"/>
      <c r="Q1" s="40"/>
    </row>
    <row r="2" spans="1:17" ht="19.5" customHeight="1" x14ac:dyDescent="0.2">
      <c r="A2" s="1406" t="s">
        <v>2567</v>
      </c>
      <c r="B2" s="1407"/>
      <c r="C2" s="1407"/>
      <c r="D2" s="1407"/>
      <c r="E2" s="1407"/>
      <c r="F2" s="1407"/>
      <c r="G2" s="1407"/>
      <c r="H2" s="1407"/>
      <c r="I2" s="1407"/>
      <c r="J2" s="1407"/>
      <c r="K2" s="40"/>
      <c r="L2" s="40"/>
      <c r="M2" s="40"/>
      <c r="N2" s="40"/>
      <c r="O2" s="40"/>
      <c r="P2" s="40"/>
      <c r="Q2" s="40"/>
    </row>
    <row r="3" spans="1:17" ht="19.5" customHeight="1" x14ac:dyDescent="0.2">
      <c r="A3" s="1407"/>
      <c r="B3" s="1407"/>
      <c r="C3" s="1407"/>
      <c r="D3" s="1407"/>
      <c r="E3" s="1407"/>
      <c r="F3" s="1407"/>
      <c r="G3" s="1407"/>
      <c r="H3" s="1407"/>
      <c r="I3" s="1407"/>
      <c r="J3" s="1407"/>
      <c r="K3" s="40"/>
      <c r="L3" s="40"/>
      <c r="M3" s="40"/>
      <c r="N3" s="40"/>
      <c r="O3" s="40"/>
      <c r="P3" s="40"/>
      <c r="Q3" s="40"/>
    </row>
    <row r="4" spans="1:17" ht="15" customHeight="1" x14ac:dyDescent="0.2">
      <c r="A4" s="1"/>
      <c r="B4" s="1"/>
      <c r="C4" s="1"/>
      <c r="D4" s="1"/>
      <c r="E4" s="1"/>
      <c r="F4" s="1"/>
      <c r="G4" s="1"/>
      <c r="H4" s="1"/>
      <c r="I4" s="1"/>
      <c r="J4" s="1"/>
      <c r="K4" s="15"/>
      <c r="L4" s="15"/>
      <c r="M4" s="15"/>
      <c r="N4" s="15"/>
      <c r="O4" s="15"/>
      <c r="P4" s="15"/>
      <c r="Q4" s="15"/>
    </row>
    <row r="5" spans="1:17" s="1069" customFormat="1" ht="18" customHeight="1" x14ac:dyDescent="0.2">
      <c r="A5" s="1401" t="s">
        <v>1099</v>
      </c>
      <c r="B5" s="1401"/>
      <c r="C5" s="1401"/>
      <c r="D5" s="1401"/>
      <c r="E5" s="1401"/>
      <c r="F5" s="1401"/>
      <c r="G5" s="1401"/>
      <c r="H5" s="1401"/>
      <c r="I5" s="1401"/>
      <c r="J5" s="1402"/>
    </row>
    <row r="6" spans="1:17" s="1301" customFormat="1" x14ac:dyDescent="0.2">
      <c r="A6" s="1"/>
      <c r="B6" s="1"/>
      <c r="C6" s="1"/>
      <c r="D6" s="1"/>
      <c r="E6" s="1"/>
      <c r="F6" s="1"/>
      <c r="G6" s="1"/>
      <c r="H6" s="1"/>
      <c r="I6" s="1"/>
      <c r="J6" s="1"/>
    </row>
    <row r="7" spans="1:17" s="1301" customFormat="1" ht="19.5" customHeight="1" x14ac:dyDescent="0.2">
      <c r="A7" s="1"/>
      <c r="B7" s="1066" t="s">
        <v>1529</v>
      </c>
      <c r="C7" s="1403" t="s">
        <v>124</v>
      </c>
      <c r="D7" s="1404"/>
      <c r="E7" s="1405"/>
      <c r="F7" s="1"/>
      <c r="G7" s="1"/>
      <c r="H7" s="1"/>
      <c r="I7" s="1"/>
      <c r="J7" s="1"/>
    </row>
    <row r="8" spans="1:17" s="1301" customFormat="1" ht="15" customHeight="1" x14ac:dyDescent="0.2">
      <c r="A8" s="1"/>
      <c r="B8" s="1"/>
      <c r="C8" s="1"/>
      <c r="D8" s="1"/>
      <c r="E8" s="1"/>
      <c r="F8" s="1"/>
      <c r="G8" s="1"/>
      <c r="H8" s="1"/>
      <c r="I8" s="1"/>
      <c r="J8" s="1"/>
    </row>
    <row r="9" spans="1:17" ht="18" customHeight="1" x14ac:dyDescent="0.2">
      <c r="A9" s="1401" t="s">
        <v>1884</v>
      </c>
      <c r="B9" s="1401"/>
      <c r="C9" s="1401"/>
      <c r="D9" s="1401"/>
      <c r="E9" s="1401"/>
      <c r="F9" s="1401"/>
      <c r="G9" s="1401"/>
      <c r="H9" s="1401"/>
      <c r="I9" s="1401"/>
      <c r="J9" s="1402"/>
      <c r="K9" s="15"/>
      <c r="L9" s="15"/>
      <c r="M9" s="15"/>
      <c r="N9" s="15"/>
      <c r="O9" s="15"/>
      <c r="P9" s="15"/>
      <c r="Q9" s="15"/>
    </row>
    <row r="10" spans="1:17" ht="15" customHeight="1" x14ac:dyDescent="0.2">
      <c r="A10" s="1"/>
      <c r="B10" s="1"/>
      <c r="C10" s="1"/>
      <c r="D10" s="1"/>
      <c r="E10" s="1"/>
      <c r="F10" s="1"/>
      <c r="G10" s="1"/>
      <c r="H10" s="1"/>
      <c r="I10" s="1"/>
      <c r="J10" s="1"/>
      <c r="K10" s="15"/>
      <c r="L10" s="15"/>
      <c r="M10" s="15"/>
      <c r="N10" s="15"/>
      <c r="O10" s="15"/>
      <c r="P10" s="15"/>
      <c r="Q10" s="15"/>
    </row>
    <row r="11" spans="1:17" ht="18" customHeight="1" x14ac:dyDescent="0.2">
      <c r="A11" s="1"/>
      <c r="B11" s="1066" t="s">
        <v>261</v>
      </c>
      <c r="C11" s="1408"/>
      <c r="D11" s="1408"/>
      <c r="E11" s="1408"/>
      <c r="F11" s="1408"/>
      <c r="G11" s="1"/>
      <c r="H11" s="1"/>
      <c r="I11" s="1"/>
      <c r="J11" s="1"/>
      <c r="K11" s="15"/>
      <c r="L11" s="15"/>
      <c r="M11" s="15"/>
      <c r="N11" s="15"/>
      <c r="O11" s="15"/>
      <c r="P11" s="15"/>
      <c r="Q11" s="15"/>
    </row>
    <row r="12" spans="1:17" ht="18" customHeight="1" x14ac:dyDescent="0.2">
      <c r="A12" s="1"/>
      <c r="B12" s="1066" t="s">
        <v>262</v>
      </c>
      <c r="C12" s="1408"/>
      <c r="D12" s="1408"/>
      <c r="E12" s="1408"/>
      <c r="F12" s="1408"/>
      <c r="G12" s="1"/>
      <c r="H12" s="1"/>
      <c r="I12" s="1"/>
      <c r="J12" s="1"/>
      <c r="K12" s="15"/>
      <c r="L12" s="15"/>
      <c r="M12" s="15"/>
      <c r="N12" s="15"/>
      <c r="O12" s="15"/>
      <c r="P12" s="15"/>
      <c r="Q12" s="15"/>
    </row>
    <row r="13" spans="1:17" ht="18" customHeight="1" x14ac:dyDescent="0.2">
      <c r="A13" s="1"/>
      <c r="B13" s="1066" t="s">
        <v>263</v>
      </c>
      <c r="C13" s="1408"/>
      <c r="D13" s="1408"/>
      <c r="E13" s="1408"/>
      <c r="F13" s="1408"/>
      <c r="G13" s="1"/>
      <c r="H13" s="1"/>
      <c r="I13" s="1"/>
      <c r="J13" s="1"/>
      <c r="K13" s="15"/>
      <c r="L13" s="15"/>
      <c r="M13" s="15"/>
      <c r="N13" s="15"/>
      <c r="O13" s="15"/>
      <c r="P13" s="15"/>
      <c r="Q13" s="15"/>
    </row>
    <row r="14" spans="1:17" ht="18" customHeight="1" x14ac:dyDescent="0.2">
      <c r="A14" s="1"/>
      <c r="B14" s="1066" t="s">
        <v>264</v>
      </c>
      <c r="C14" s="1408"/>
      <c r="D14" s="1408"/>
      <c r="E14" s="1408"/>
      <c r="F14" s="1408"/>
      <c r="G14" s="1"/>
      <c r="H14" s="1"/>
      <c r="I14" s="1"/>
      <c r="J14" s="1"/>
      <c r="K14" s="15"/>
      <c r="L14" s="15"/>
      <c r="M14" s="15"/>
      <c r="N14" s="15"/>
      <c r="O14" s="15"/>
      <c r="P14" s="15"/>
      <c r="Q14" s="15"/>
    </row>
    <row r="15" spans="1:17" ht="15" customHeight="1" x14ac:dyDescent="0.2">
      <c r="A15" s="1"/>
      <c r="B15" s="1"/>
      <c r="C15" s="1"/>
      <c r="D15" s="1"/>
      <c r="E15" s="1"/>
      <c r="F15" s="1"/>
      <c r="G15" s="1"/>
      <c r="H15" s="1"/>
      <c r="I15" s="1"/>
      <c r="J15" s="1"/>
      <c r="K15" s="15"/>
      <c r="L15" s="15"/>
      <c r="M15" s="15"/>
      <c r="N15" s="15"/>
      <c r="O15" s="15"/>
      <c r="P15" s="15"/>
      <c r="Q15" s="15"/>
    </row>
    <row r="16" spans="1:17" ht="18" customHeight="1" x14ac:dyDescent="0.2">
      <c r="A16" s="1401" t="s">
        <v>1891</v>
      </c>
      <c r="B16" s="1401"/>
      <c r="C16" s="1401"/>
      <c r="D16" s="1401"/>
      <c r="E16" s="1401"/>
      <c r="F16" s="1401"/>
      <c r="G16" s="1401"/>
      <c r="H16" s="1401"/>
      <c r="I16" s="1401"/>
      <c r="J16" s="1402"/>
      <c r="K16" s="15"/>
      <c r="L16" s="15"/>
      <c r="M16" s="15"/>
      <c r="N16" s="15"/>
      <c r="O16" s="15"/>
      <c r="P16" s="15"/>
      <c r="Q16" s="15"/>
    </row>
    <row r="17" spans="1:17" ht="15" customHeight="1" x14ac:dyDescent="0.2">
      <c r="A17" s="1"/>
      <c r="B17" s="1"/>
      <c r="C17" s="1"/>
      <c r="D17" s="1"/>
      <c r="E17" s="1"/>
      <c r="F17" s="1"/>
      <c r="G17" s="1"/>
      <c r="H17" s="1"/>
      <c r="I17" s="1"/>
      <c r="J17" s="1"/>
      <c r="K17" s="15"/>
      <c r="L17" s="15"/>
      <c r="M17" s="15"/>
      <c r="N17" s="15"/>
      <c r="O17" s="15"/>
      <c r="P17" s="15"/>
      <c r="Q17" s="15"/>
    </row>
    <row r="18" spans="1:17" ht="18" customHeight="1" x14ac:dyDescent="0.2">
      <c r="A18" s="1"/>
      <c r="B18" s="1066" t="s">
        <v>1892</v>
      </c>
      <c r="C18" s="1408"/>
      <c r="D18" s="1408"/>
      <c r="E18" s="1408"/>
      <c r="F18" s="1408"/>
      <c r="G18" s="1"/>
      <c r="H18" s="1"/>
      <c r="I18" s="1"/>
      <c r="J18" s="1"/>
      <c r="K18" s="15"/>
      <c r="L18" s="15"/>
      <c r="M18" s="15"/>
      <c r="N18" s="15"/>
      <c r="O18" s="15"/>
      <c r="P18" s="15"/>
      <c r="Q18" s="15"/>
    </row>
    <row r="19" spans="1:17" ht="18" customHeight="1" x14ac:dyDescent="0.2">
      <c r="A19" s="1"/>
      <c r="B19" s="1066" t="s">
        <v>1893</v>
      </c>
      <c r="C19" s="1408"/>
      <c r="D19" s="1408"/>
      <c r="E19" s="1408"/>
      <c r="F19" s="1408"/>
      <c r="G19" s="1"/>
      <c r="H19" s="1"/>
      <c r="I19" s="1"/>
      <c r="J19" s="1"/>
      <c r="K19" s="15"/>
      <c r="L19" s="15"/>
      <c r="M19" s="15"/>
      <c r="N19" s="15"/>
      <c r="O19" s="15"/>
      <c r="P19" s="15"/>
      <c r="Q19" s="15"/>
    </row>
    <row r="20" spans="1:17" ht="15" customHeight="1" x14ac:dyDescent="0.2">
      <c r="A20" s="1"/>
      <c r="B20" s="1"/>
      <c r="C20" s="1"/>
      <c r="D20" s="1"/>
      <c r="E20" s="1"/>
      <c r="F20" s="1"/>
      <c r="G20" s="1"/>
      <c r="H20" s="1"/>
      <c r="I20" s="1"/>
      <c r="J20" s="1"/>
      <c r="K20" s="15"/>
      <c r="L20" s="15"/>
      <c r="M20" s="15"/>
      <c r="N20" s="15"/>
      <c r="O20" s="15"/>
      <c r="P20" s="15"/>
      <c r="Q20" s="15"/>
    </row>
    <row r="21" spans="1:17" ht="18" customHeight="1" x14ac:dyDescent="0.2">
      <c r="A21" s="1401" t="s">
        <v>1101</v>
      </c>
      <c r="B21" s="1401"/>
      <c r="C21" s="1401"/>
      <c r="D21" s="1401"/>
      <c r="E21" s="1401"/>
      <c r="F21" s="1401"/>
      <c r="G21" s="1401"/>
      <c r="H21" s="1401"/>
      <c r="I21" s="1401"/>
      <c r="J21" s="1402"/>
      <c r="K21" s="16"/>
      <c r="L21" s="16"/>
      <c r="M21" s="16"/>
      <c r="N21" s="16"/>
      <c r="O21" s="16"/>
      <c r="P21" s="16"/>
      <c r="Q21" s="16"/>
    </row>
    <row r="22" spans="1:17" x14ac:dyDescent="0.2">
      <c r="A22" s="1"/>
      <c r="B22" s="1"/>
      <c r="C22" s="1"/>
      <c r="D22" s="1"/>
      <c r="E22" s="1"/>
      <c r="F22" s="1"/>
      <c r="G22" s="1"/>
      <c r="H22" s="1"/>
      <c r="I22" s="1"/>
      <c r="J22" s="1"/>
      <c r="K22" s="16"/>
      <c r="L22" s="16"/>
      <c r="M22" s="16"/>
      <c r="N22" s="16"/>
      <c r="O22" s="16"/>
      <c r="P22" s="16"/>
      <c r="Q22" s="16"/>
    </row>
    <row r="23" spans="1:17" ht="18" customHeight="1" x14ac:dyDescent="0.2">
      <c r="A23" s="1"/>
      <c r="B23" s="1066" t="s">
        <v>1885</v>
      </c>
      <c r="C23" s="552"/>
      <c r="D23" s="1"/>
      <c r="E23" s="1"/>
      <c r="F23" s="1"/>
      <c r="G23" s="1"/>
      <c r="H23" s="1"/>
      <c r="I23" s="1"/>
      <c r="J23" s="1"/>
    </row>
    <row r="24" spans="1:17" ht="18" customHeight="1" x14ac:dyDescent="0.2">
      <c r="A24" s="1"/>
      <c r="B24" s="1066" t="s">
        <v>1886</v>
      </c>
      <c r="C24" s="553"/>
      <c r="D24" s="1"/>
      <c r="E24" s="1"/>
      <c r="F24" s="1"/>
      <c r="G24" s="1"/>
      <c r="H24" s="1"/>
      <c r="I24" s="1"/>
      <c r="J24" s="1"/>
    </row>
    <row r="25" spans="1:17" ht="18" customHeight="1" x14ac:dyDescent="0.2">
      <c r="A25" s="1"/>
      <c r="B25" s="1066" t="s">
        <v>1887</v>
      </c>
      <c r="C25" s="553"/>
      <c r="D25" s="1"/>
      <c r="E25" s="1"/>
      <c r="F25" s="1"/>
      <c r="G25" s="1"/>
      <c r="H25" s="1"/>
      <c r="I25" s="1"/>
      <c r="J25" s="1"/>
    </row>
    <row r="26" spans="1:17" ht="18" customHeight="1" x14ac:dyDescent="0.2">
      <c r="A26" s="1"/>
      <c r="B26" s="1066" t="s">
        <v>1888</v>
      </c>
      <c r="C26" s="553"/>
      <c r="D26" s="1"/>
      <c r="E26" s="1"/>
      <c r="F26" s="1"/>
      <c r="G26" s="1"/>
      <c r="H26" s="1"/>
      <c r="I26" s="1"/>
      <c r="J26" s="1"/>
    </row>
    <row r="27" spans="1:17" ht="18" customHeight="1" x14ac:dyDescent="0.2">
      <c r="A27" s="1"/>
      <c r="B27" s="1"/>
      <c r="C27" s="1"/>
      <c r="D27" s="1"/>
      <c r="E27" s="1"/>
      <c r="F27" s="1"/>
      <c r="G27" s="1"/>
      <c r="H27" s="1"/>
      <c r="I27" s="1"/>
      <c r="J27" s="1"/>
    </row>
    <row r="28" spans="1:17" ht="18" customHeight="1" x14ac:dyDescent="0.2">
      <c r="A28" s="1401" t="s">
        <v>1100</v>
      </c>
      <c r="B28" s="1401"/>
      <c r="C28" s="1401"/>
      <c r="D28" s="1401"/>
      <c r="E28" s="1401"/>
      <c r="F28" s="1401"/>
      <c r="G28" s="1401"/>
      <c r="H28" s="1401"/>
      <c r="I28" s="1401"/>
      <c r="J28" s="1402"/>
    </row>
    <row r="29" spans="1:17" x14ac:dyDescent="0.2">
      <c r="A29" s="1"/>
      <c r="B29" s="1"/>
      <c r="C29" s="1"/>
      <c r="D29" s="1"/>
      <c r="E29" s="1"/>
      <c r="F29" s="1"/>
      <c r="G29" s="1"/>
      <c r="H29" s="1"/>
      <c r="I29" s="1"/>
      <c r="J29" s="1"/>
    </row>
    <row r="30" spans="1:17" ht="18" customHeight="1" x14ac:dyDescent="0.2">
      <c r="A30" s="1"/>
      <c r="B30" s="1066" t="s">
        <v>2221</v>
      </c>
      <c r="C30" s="553"/>
      <c r="D30" s="1"/>
      <c r="E30" s="1"/>
      <c r="F30" s="1"/>
      <c r="G30" s="1"/>
      <c r="H30" s="1"/>
      <c r="I30" s="1"/>
      <c r="J30" s="1"/>
    </row>
    <row r="31" spans="1:17" ht="18" customHeight="1" x14ac:dyDescent="0.2">
      <c r="A31" s="1"/>
      <c r="B31" s="1066" t="s">
        <v>105</v>
      </c>
      <c r="C31" s="553"/>
      <c r="D31" s="1"/>
      <c r="E31" s="1"/>
      <c r="F31" s="1"/>
      <c r="G31" s="1"/>
      <c r="H31" s="1"/>
      <c r="I31" s="1"/>
      <c r="J31" s="1"/>
    </row>
    <row r="32" spans="1:17" ht="18" customHeight="1" x14ac:dyDescent="0.2">
      <c r="A32" s="1"/>
      <c r="B32" s="1066" t="s">
        <v>1883</v>
      </c>
      <c r="C32" s="553"/>
      <c r="D32" s="1"/>
      <c r="E32" s="1"/>
      <c r="F32" s="1"/>
      <c r="G32" s="1"/>
      <c r="H32" s="1"/>
      <c r="I32" s="1"/>
      <c r="J32" s="1"/>
    </row>
    <row r="33" spans="1:10" ht="18" customHeight="1" x14ac:dyDescent="0.2">
      <c r="A33" s="1"/>
      <c r="B33" s="1066" t="s">
        <v>1766</v>
      </c>
      <c r="C33" s="553"/>
      <c r="D33" s="1"/>
      <c r="E33" s="1"/>
      <c r="F33" s="1"/>
      <c r="G33" s="1"/>
      <c r="H33" s="1"/>
      <c r="I33" s="1"/>
      <c r="J33" s="1"/>
    </row>
    <row r="34" spans="1:10" ht="18" customHeight="1" x14ac:dyDescent="0.2">
      <c r="A34" s="1"/>
      <c r="B34" s="1066" t="s">
        <v>2220</v>
      </c>
      <c r="C34" s="553"/>
      <c r="D34" s="1"/>
      <c r="E34" s="1"/>
      <c r="F34" s="1"/>
      <c r="G34" s="1"/>
      <c r="H34" s="1"/>
      <c r="I34" s="1"/>
      <c r="J34" s="1"/>
    </row>
    <row r="35" spans="1:10" x14ac:dyDescent="0.2">
      <c r="A35" s="1"/>
      <c r="B35" s="1"/>
      <c r="C35" s="1"/>
      <c r="D35" s="1"/>
      <c r="E35" s="1"/>
      <c r="F35" s="1"/>
      <c r="G35" s="1"/>
      <c r="H35" s="1"/>
      <c r="I35" s="1"/>
      <c r="J35" s="1"/>
    </row>
    <row r="36" spans="1:10" ht="18" customHeight="1" x14ac:dyDescent="0.2">
      <c r="A36" s="1"/>
      <c r="B36" s="1412" t="s">
        <v>1889</v>
      </c>
      <c r="C36" s="1415" t="s">
        <v>109</v>
      </c>
      <c r="D36" s="1416"/>
      <c r="E36" s="1415" t="s">
        <v>1890</v>
      </c>
      <c r="F36" s="1416"/>
      <c r="G36" s="1"/>
      <c r="H36" s="1"/>
      <c r="I36" s="1"/>
      <c r="J36" s="1"/>
    </row>
    <row r="37" spans="1:10" ht="18" customHeight="1" x14ac:dyDescent="0.2">
      <c r="A37" s="1"/>
      <c r="B37" s="1413"/>
      <c r="C37" s="1403" t="s">
        <v>124</v>
      </c>
      <c r="D37" s="1405"/>
      <c r="E37" s="1403"/>
      <c r="F37" s="1405"/>
      <c r="G37" s="1"/>
      <c r="H37" s="1"/>
      <c r="I37" s="1"/>
      <c r="J37" s="1"/>
    </row>
    <row r="38" spans="1:10" ht="18" customHeight="1" x14ac:dyDescent="0.2">
      <c r="A38" s="1"/>
      <c r="B38" s="1413"/>
      <c r="C38" s="1403" t="s">
        <v>124</v>
      </c>
      <c r="D38" s="1405"/>
      <c r="E38" s="1067"/>
      <c r="F38" s="1068"/>
      <c r="G38" s="1"/>
      <c r="H38" s="1"/>
      <c r="I38" s="1"/>
      <c r="J38" s="1"/>
    </row>
    <row r="39" spans="1:10" ht="15.75" customHeight="1" x14ac:dyDescent="0.2">
      <c r="A39" s="1"/>
      <c r="B39" s="1413"/>
      <c r="C39" s="1403" t="s">
        <v>124</v>
      </c>
      <c r="D39" s="1405"/>
      <c r="E39" s="1403"/>
      <c r="F39" s="1405"/>
      <c r="G39" s="1"/>
      <c r="H39" s="1"/>
      <c r="I39" s="1"/>
      <c r="J39" s="1"/>
    </row>
    <row r="40" spans="1:10" ht="15.75" customHeight="1" x14ac:dyDescent="0.2">
      <c r="A40" s="1"/>
      <c r="B40" s="1414"/>
      <c r="C40" s="1403" t="s">
        <v>124</v>
      </c>
      <c r="D40" s="1405"/>
      <c r="E40" s="1403"/>
      <c r="F40" s="1405"/>
      <c r="G40" s="1"/>
      <c r="H40" s="1"/>
      <c r="I40" s="1"/>
      <c r="J40" s="1"/>
    </row>
    <row r="41" spans="1:10" x14ac:dyDescent="0.2">
      <c r="A41" s="1"/>
      <c r="B41" s="1"/>
      <c r="C41" s="1"/>
      <c r="D41" s="1"/>
      <c r="E41" s="1"/>
      <c r="F41" s="1"/>
      <c r="G41" s="1"/>
      <c r="H41" s="1"/>
      <c r="I41" s="1"/>
      <c r="J41" s="1"/>
    </row>
    <row r="42" spans="1:10" ht="54" customHeight="1" x14ac:dyDescent="0.2">
      <c r="A42" s="1"/>
      <c r="B42" s="1066" t="s">
        <v>1894</v>
      </c>
      <c r="C42" s="1409"/>
      <c r="D42" s="1410"/>
      <c r="E42" s="1410"/>
      <c r="F42" s="1410"/>
      <c r="G42" s="1410"/>
      <c r="H42" s="1410"/>
      <c r="I42" s="1411"/>
      <c r="J42" s="1"/>
    </row>
    <row r="43" spans="1:10" ht="19.5" customHeight="1" x14ac:dyDescent="0.2">
      <c r="A43" s="1"/>
      <c r="B43" s="1"/>
      <c r="C43" s="1"/>
      <c r="D43" s="1"/>
      <c r="E43" s="1"/>
      <c r="F43" s="1"/>
      <c r="G43" s="1"/>
      <c r="H43" s="1"/>
      <c r="I43" s="1"/>
      <c r="J43" s="1"/>
    </row>
    <row r="44" spans="1:10" hidden="1" x14ac:dyDescent="0.2">
      <c r="A44" s="1"/>
      <c r="B44" s="1"/>
      <c r="C44" s="1"/>
      <c r="D44" s="1"/>
      <c r="E44" s="1"/>
      <c r="F44" s="1"/>
      <c r="G44" s="1"/>
      <c r="H44" s="1"/>
      <c r="I44" s="1"/>
      <c r="J44" s="1"/>
    </row>
    <row r="45" spans="1:10" hidden="1" x14ac:dyDescent="0.2">
      <c r="A45" s="16"/>
      <c r="B45" s="18"/>
      <c r="C45" s="17"/>
      <c r="D45" s="17"/>
      <c r="E45" s="17"/>
      <c r="F45" s="17"/>
      <c r="G45" s="17"/>
      <c r="H45" s="17"/>
      <c r="I45" s="17"/>
      <c r="J45" s="17"/>
    </row>
    <row r="46" spans="1:10" hidden="1" x14ac:dyDescent="0.2"/>
    <row r="47" spans="1:10" hidden="1" x14ac:dyDescent="0.2"/>
    <row r="48" spans="1:10"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sheetData>
  <sheetProtection algorithmName="SHA-512" hashValue="8xLEaDmUxIy40/nnSt18cuV89XpgArsxisxK+oavk/saBm2wp2dW+/79jb7LCihL+00TD/sdMwgtdk6ox+V9oA==" saltValue="IQJ4R8fVCWbz4sFixc28hA==" spinCount="100000" sheet="1" objects="1" scenarios="1"/>
  <mergeCells count="25">
    <mergeCell ref="C42:I42"/>
    <mergeCell ref="B36:B40"/>
    <mergeCell ref="C39:D39"/>
    <mergeCell ref="E39:F39"/>
    <mergeCell ref="C40:D40"/>
    <mergeCell ref="E40:F40"/>
    <mergeCell ref="C36:D36"/>
    <mergeCell ref="E36:F36"/>
    <mergeCell ref="C37:D37"/>
    <mergeCell ref="E37:F37"/>
    <mergeCell ref="C38:D38"/>
    <mergeCell ref="A5:J5"/>
    <mergeCell ref="C7:E7"/>
    <mergeCell ref="A1:J1"/>
    <mergeCell ref="A28:J28"/>
    <mergeCell ref="A21:J21"/>
    <mergeCell ref="A9:J9"/>
    <mergeCell ref="A2:J3"/>
    <mergeCell ref="A16:J16"/>
    <mergeCell ref="C18:F18"/>
    <mergeCell ref="C19:F19"/>
    <mergeCell ref="C11:F11"/>
    <mergeCell ref="C12:F12"/>
    <mergeCell ref="C13:F13"/>
    <mergeCell ref="C14:F14"/>
  </mergeCells>
  <dataValidations count="7">
    <dataValidation allowBlank="1" showInputMessage="1" showErrorMessage="1" prompt="The sum of the floor areas of a building at all floor levels. Garages are not to be included as GFA." sqref="C30" xr:uid="{00000000-0002-0000-0500-000000000000}"/>
    <dataValidation allowBlank="1" showInputMessage="1" showErrorMessage="1" prompt="The total area of the building site" sqref="B23:C23" xr:uid="{00000000-0002-0000-0500-000001000000}"/>
    <dataValidation allowBlank="1" showInputMessage="1" showErrorMessage="1" prompt="The area of the building in plan on the ground floor or ground plane that is enclosed by exterior walls and adjoining structures sharing the same foundation as the building such as decks, porches and garages. " sqref="B24:C24" xr:uid="{00000000-0002-0000-0500-000002000000}"/>
    <dataValidation allowBlank="1" showInputMessage="1" showErrorMessage="1" prompt="(or Vegetated Area)_x000a_Any area on the building site that is not paved and has plant cover. " sqref="B25:C25" xr:uid="{00000000-0002-0000-0500-000003000000}"/>
    <dataValidation allowBlank="1" showInputMessage="1" showErrorMessage="1" prompt="Paved areas like streets &amp; sidewalks (located on the site area but not in the Building footprint)" sqref="B26:C26" xr:uid="{00000000-0002-0000-0500-000004000000}"/>
    <dataValidation type="list" allowBlank="1" showInputMessage="1" showErrorMessage="1" sqref="C7" xr:uid="{00000000-0002-0000-0500-000005000000}">
      <formula1>"Select,Pre-assessment stage, Certification stage"</formula1>
    </dataValidation>
    <dataValidation type="list" allowBlank="1" showInputMessage="1" showErrorMessage="1" sqref="C37:D40" xr:uid="{00000000-0002-0000-0500-000006000000}">
      <formula1>"Select,Office,Retail,Residential,Hotel,Restaurant,Education,Healthcare,Industrial,Other"</formula1>
    </dataValidation>
  </dataValidations>
  <pageMargins left="0.7" right="0.7" top="0.75" bottom="0.75" header="0.3" footer="0.3"/>
  <pageSetup orientation="portrait" verticalDpi="0"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tabColor rgb="FF76923C"/>
  </sheetPr>
  <dimension ref="A1:Q443"/>
  <sheetViews>
    <sheetView showRowColHeaders="0" workbookViewId="0">
      <pane ySplit="1" topLeftCell="A32" activePane="bottomLeft" state="frozen"/>
      <selection pane="bottomLeft" activeCell="F53" sqref="F53"/>
    </sheetView>
  </sheetViews>
  <sheetFormatPr defaultColWidth="0" defaultRowHeight="15" customHeight="1" zeroHeight="1" x14ac:dyDescent="0.25"/>
  <cols>
    <col min="1" max="1" width="4.140625" customWidth="1"/>
    <col min="2" max="2" width="11.140625" customWidth="1"/>
    <col min="3" max="3" width="9.7109375" customWidth="1"/>
    <col min="4" max="17" width="9.140625" customWidth="1"/>
    <col min="18" max="16384" width="9.140625" hidden="1"/>
  </cols>
  <sheetData>
    <row r="1" spans="1:17" s="13" customFormat="1" ht="30" customHeight="1" x14ac:dyDescent="0.2">
      <c r="A1" s="1348" t="s">
        <v>1430</v>
      </c>
      <c r="B1" s="1348"/>
      <c r="C1" s="1348"/>
      <c r="D1" s="1348"/>
      <c r="E1" s="1348"/>
      <c r="F1" s="1348"/>
      <c r="G1" s="1348"/>
      <c r="H1" s="1348"/>
      <c r="I1" s="1348"/>
      <c r="J1" s="1348"/>
      <c r="K1" s="1348"/>
      <c r="L1" s="1348"/>
      <c r="M1" s="1348"/>
      <c r="N1" s="1348"/>
      <c r="O1" s="1348"/>
      <c r="P1" s="1348"/>
      <c r="Q1" s="1348"/>
    </row>
    <row r="2" spans="1:17" s="13" customFormat="1" ht="16.5" customHeight="1" x14ac:dyDescent="0.2">
      <c r="A2" s="14"/>
      <c r="B2" s="14"/>
      <c r="C2" s="14"/>
      <c r="D2" s="15"/>
      <c r="E2" s="15"/>
      <c r="F2" s="15"/>
      <c r="G2" s="15"/>
      <c r="H2" s="15"/>
      <c r="I2" s="15"/>
      <c r="J2" s="15"/>
      <c r="K2" s="15"/>
      <c r="L2" s="15"/>
      <c r="M2" s="15"/>
      <c r="N2" s="15"/>
      <c r="O2" s="15"/>
      <c r="P2" s="15"/>
      <c r="Q2" s="15"/>
    </row>
    <row r="3" spans="1:17" s="13" customFormat="1" ht="21" customHeight="1" x14ac:dyDescent="0.2">
      <c r="A3" s="2400" t="s">
        <v>2333</v>
      </c>
      <c r="B3" s="2400"/>
      <c r="C3" s="2400"/>
      <c r="D3" s="2400"/>
      <c r="E3" s="2400"/>
      <c r="F3" s="2400"/>
      <c r="G3" s="14"/>
      <c r="H3" s="14"/>
      <c r="I3" s="14"/>
      <c r="J3" s="14"/>
      <c r="K3" s="14"/>
      <c r="L3" s="14"/>
      <c r="M3" s="14"/>
      <c r="N3" s="14"/>
      <c r="O3" s="14"/>
      <c r="P3" s="14"/>
      <c r="Q3" s="14"/>
    </row>
    <row r="4" spans="1:17" s="13" customFormat="1" ht="15" customHeight="1" x14ac:dyDescent="0.2">
      <c r="A4" s="14"/>
      <c r="B4" s="14"/>
      <c r="C4" s="14"/>
      <c r="D4" s="14"/>
      <c r="E4" s="14"/>
      <c r="F4" s="14"/>
      <c r="G4" s="14"/>
      <c r="H4" s="14"/>
      <c r="I4" s="14"/>
      <c r="J4" s="14"/>
      <c r="K4" s="14"/>
      <c r="L4" s="14"/>
      <c r="M4" s="14"/>
      <c r="N4" s="14"/>
      <c r="O4" s="14"/>
      <c r="P4" s="14"/>
      <c r="Q4" s="14"/>
    </row>
    <row r="5" spans="1:17" s="13" customFormat="1" ht="15" customHeight="1" x14ac:dyDescent="0.2">
      <c r="A5" s="14"/>
      <c r="B5" s="2398" t="s">
        <v>2397</v>
      </c>
      <c r="C5" s="2398"/>
      <c r="D5" s="2398"/>
      <c r="E5" s="2398"/>
      <c r="F5" s="2398"/>
      <c r="G5" s="2398"/>
      <c r="H5" s="2398"/>
      <c r="I5" s="2398"/>
      <c r="J5" s="2398"/>
      <c r="K5" s="2398"/>
      <c r="L5" s="2398"/>
      <c r="M5" s="2398"/>
      <c r="N5" s="2398"/>
      <c r="O5" s="2398"/>
      <c r="P5" s="2398"/>
      <c r="Q5" s="14"/>
    </row>
    <row r="6" spans="1:17" s="13" customFormat="1" ht="12" customHeight="1" x14ac:dyDescent="0.2">
      <c r="A6" s="14"/>
      <c r="B6" s="14"/>
      <c r="C6" s="14"/>
      <c r="D6" s="14"/>
      <c r="E6" s="14"/>
      <c r="F6" s="14"/>
      <c r="G6" s="14"/>
      <c r="H6" s="14"/>
      <c r="I6" s="14"/>
      <c r="J6" s="14"/>
      <c r="K6" s="14"/>
      <c r="L6" s="14"/>
      <c r="M6" s="14"/>
      <c r="N6" s="14"/>
      <c r="O6" s="14"/>
      <c r="P6" s="14"/>
      <c r="Q6" s="14"/>
    </row>
    <row r="7" spans="1:17" s="823" customFormat="1" ht="30" customHeight="1" x14ac:dyDescent="0.25">
      <c r="A7" s="822"/>
      <c r="B7" s="2395" t="s">
        <v>2398</v>
      </c>
      <c r="C7" s="2395"/>
      <c r="D7" s="2395"/>
      <c r="E7" s="2395"/>
      <c r="F7" s="2395"/>
      <c r="G7" s="2395"/>
      <c r="H7" s="2395"/>
      <c r="I7" s="2395"/>
      <c r="J7" s="2395"/>
      <c r="K7" s="2395"/>
      <c r="L7" s="2395"/>
      <c r="M7" s="2395"/>
      <c r="N7" s="2395"/>
      <c r="O7" s="2395"/>
      <c r="P7" s="2395"/>
      <c r="Q7" s="822"/>
    </row>
    <row r="8" spans="1:17" s="13" customFormat="1" ht="12" customHeight="1" x14ac:dyDescent="0.2">
      <c r="A8" s="14"/>
      <c r="B8" s="14"/>
      <c r="C8" s="14"/>
      <c r="D8" s="14"/>
      <c r="E8" s="14"/>
      <c r="F8" s="14"/>
      <c r="G8" s="14"/>
      <c r="H8" s="14"/>
      <c r="I8" s="14"/>
      <c r="J8" s="14"/>
      <c r="K8" s="14"/>
      <c r="L8" s="14"/>
      <c r="M8" s="14"/>
      <c r="N8" s="14"/>
      <c r="O8" s="14"/>
      <c r="P8" s="14"/>
      <c r="Q8" s="14"/>
    </row>
    <row r="9" spans="1:17" s="829" customFormat="1" ht="30" customHeight="1" x14ac:dyDescent="0.2">
      <c r="A9" s="828"/>
      <c r="B9" s="2395" t="s">
        <v>2419</v>
      </c>
      <c r="C9" s="2395"/>
      <c r="D9" s="2395"/>
      <c r="E9" s="2395"/>
      <c r="F9" s="2395"/>
      <c r="G9" s="2395"/>
      <c r="H9" s="2395"/>
      <c r="I9" s="2395"/>
      <c r="J9" s="2395"/>
      <c r="K9" s="2395"/>
      <c r="L9" s="2395"/>
      <c r="M9" s="2395"/>
      <c r="N9" s="2395"/>
      <c r="O9" s="2395"/>
      <c r="P9" s="2395"/>
      <c r="Q9" s="828"/>
    </row>
    <row r="10" spans="1:17" s="13" customFormat="1" ht="12" customHeight="1" x14ac:dyDescent="0.2">
      <c r="A10" s="14"/>
      <c r="B10" s="14"/>
      <c r="C10" s="14"/>
      <c r="D10" s="14"/>
      <c r="E10" s="14"/>
      <c r="F10" s="14"/>
      <c r="G10" s="14"/>
      <c r="H10" s="14"/>
      <c r="I10" s="14"/>
      <c r="J10" s="14"/>
      <c r="K10" s="14"/>
      <c r="L10" s="14"/>
      <c r="M10" s="14"/>
      <c r="N10" s="14"/>
      <c r="O10" s="14"/>
      <c r="P10" s="14"/>
      <c r="Q10" s="14"/>
    </row>
    <row r="11" spans="1:17" s="823" customFormat="1" ht="14.25" x14ac:dyDescent="0.25">
      <c r="A11" s="822"/>
      <c r="B11" s="2395" t="s">
        <v>2462</v>
      </c>
      <c r="C11" s="2395"/>
      <c r="D11" s="2395"/>
      <c r="E11" s="2395"/>
      <c r="F11" s="2395"/>
      <c r="G11" s="2395"/>
      <c r="H11" s="2395"/>
      <c r="I11" s="2395"/>
      <c r="J11" s="2395"/>
      <c r="K11" s="2395"/>
      <c r="L11" s="2395"/>
      <c r="M11" s="2395"/>
      <c r="N11" s="2395"/>
      <c r="O11" s="2395"/>
      <c r="P11" s="2395"/>
      <c r="Q11" s="822"/>
    </row>
    <row r="12" spans="1:17" s="13" customFormat="1" ht="12" customHeight="1" x14ac:dyDescent="0.2">
      <c r="A12" s="14"/>
      <c r="B12" s="14"/>
      <c r="C12" s="14"/>
      <c r="D12" s="14"/>
      <c r="E12" s="14"/>
      <c r="F12" s="14"/>
      <c r="G12" s="14"/>
      <c r="H12" s="14"/>
      <c r="I12" s="14"/>
      <c r="J12" s="14"/>
      <c r="K12" s="14"/>
      <c r="L12" s="14"/>
      <c r="M12" s="14"/>
      <c r="N12" s="14"/>
      <c r="O12" s="14"/>
      <c r="P12" s="14"/>
      <c r="Q12" s="14"/>
    </row>
    <row r="13" spans="1:17" s="13" customFormat="1" ht="15" customHeight="1" x14ac:dyDescent="0.2">
      <c r="A13" s="14"/>
      <c r="B13" s="2398" t="s">
        <v>2410</v>
      </c>
      <c r="C13" s="2398"/>
      <c r="D13" s="2398"/>
      <c r="E13" s="2398"/>
      <c r="F13" s="2398"/>
      <c r="G13" s="2398"/>
      <c r="H13" s="2398"/>
      <c r="I13" s="2398"/>
      <c r="J13" s="2398"/>
      <c r="K13" s="2398"/>
      <c r="L13" s="2398"/>
      <c r="M13" s="2398"/>
      <c r="N13" s="2398"/>
      <c r="O13" s="2398"/>
      <c r="P13" s="2398"/>
      <c r="Q13" s="14"/>
    </row>
    <row r="14" spans="1:17" s="13" customFormat="1" ht="12" customHeight="1" x14ac:dyDescent="0.2">
      <c r="A14" s="14"/>
      <c r="B14" s="14"/>
      <c r="C14" s="14"/>
      <c r="D14" s="14"/>
      <c r="E14" s="14"/>
      <c r="F14" s="14"/>
      <c r="G14" s="14"/>
      <c r="H14" s="14"/>
      <c r="I14" s="14"/>
      <c r="J14" s="14"/>
      <c r="K14" s="14"/>
      <c r="L14" s="14"/>
      <c r="M14" s="14"/>
      <c r="N14" s="14"/>
      <c r="O14" s="14"/>
      <c r="P14" s="14"/>
      <c r="Q14" s="14"/>
    </row>
    <row r="15" spans="1:17" s="13" customFormat="1" ht="30" customHeight="1" x14ac:dyDescent="0.2">
      <c r="A15" s="14"/>
      <c r="B15" s="2395" t="s">
        <v>2402</v>
      </c>
      <c r="C15" s="2395"/>
      <c r="D15" s="2395"/>
      <c r="E15" s="2395"/>
      <c r="F15" s="2395"/>
      <c r="G15" s="2395"/>
      <c r="H15" s="2395"/>
      <c r="I15" s="2395"/>
      <c r="J15" s="2395"/>
      <c r="K15" s="2395"/>
      <c r="L15" s="2395"/>
      <c r="M15" s="2395"/>
      <c r="N15" s="2395"/>
      <c r="O15" s="2395"/>
      <c r="P15" s="2395"/>
      <c r="Q15" s="14"/>
    </row>
    <row r="16" spans="1:17" s="13" customFormat="1" ht="12" customHeight="1" x14ac:dyDescent="0.2">
      <c r="A16" s="14"/>
      <c r="B16" s="14"/>
      <c r="C16" s="14"/>
      <c r="D16" s="14"/>
      <c r="E16" s="14"/>
      <c r="F16" s="14"/>
      <c r="G16" s="14"/>
      <c r="H16" s="14"/>
      <c r="I16" s="14"/>
      <c r="J16" s="14"/>
      <c r="K16" s="14"/>
      <c r="L16" s="14"/>
      <c r="M16" s="14"/>
      <c r="N16" s="14"/>
      <c r="O16" s="14"/>
      <c r="P16" s="14"/>
      <c r="Q16" s="14"/>
    </row>
    <row r="17" spans="1:17" s="13" customFormat="1" ht="15" customHeight="1" x14ac:dyDescent="0.2">
      <c r="A17" s="14"/>
      <c r="B17" s="2398" t="s">
        <v>1767</v>
      </c>
      <c r="C17" s="2398"/>
      <c r="D17" s="2398"/>
      <c r="E17" s="2398"/>
      <c r="F17" s="2398"/>
      <c r="G17" s="2398"/>
      <c r="H17" s="2398"/>
      <c r="I17" s="2398"/>
      <c r="J17" s="2398"/>
      <c r="K17" s="2398"/>
      <c r="L17" s="2398"/>
      <c r="M17" s="2398"/>
      <c r="N17" s="2398"/>
      <c r="O17" s="2398"/>
      <c r="P17" s="2398"/>
      <c r="Q17" s="14"/>
    </row>
    <row r="18" spans="1:17" s="13" customFormat="1" ht="12" customHeight="1" x14ac:dyDescent="0.2">
      <c r="A18" s="14"/>
      <c r="B18" s="14"/>
      <c r="C18" s="14"/>
      <c r="D18" s="14"/>
      <c r="E18" s="14"/>
      <c r="F18" s="14"/>
      <c r="G18" s="14"/>
      <c r="H18" s="14"/>
      <c r="I18" s="14"/>
      <c r="J18" s="14"/>
      <c r="K18" s="14"/>
      <c r="L18" s="14"/>
      <c r="M18" s="14"/>
      <c r="N18" s="14"/>
      <c r="O18" s="14"/>
      <c r="P18" s="14"/>
      <c r="Q18" s="14"/>
    </row>
    <row r="19" spans="1:17" s="13" customFormat="1" ht="12" customHeight="1" x14ac:dyDescent="0.2">
      <c r="A19" s="14"/>
      <c r="B19" s="2398" t="s">
        <v>2401</v>
      </c>
      <c r="C19" s="2398"/>
      <c r="D19" s="2398"/>
      <c r="E19" s="2398"/>
      <c r="F19" s="2398"/>
      <c r="G19" s="2398"/>
      <c r="H19" s="2398"/>
      <c r="I19" s="2398"/>
      <c r="J19" s="2398"/>
      <c r="K19" s="2398"/>
      <c r="L19" s="2398"/>
      <c r="M19" s="2398"/>
      <c r="N19" s="2398"/>
      <c r="O19" s="2398"/>
      <c r="P19" s="2398"/>
      <c r="Q19" s="14"/>
    </row>
    <row r="20" spans="1:17" s="13" customFormat="1" ht="12" customHeight="1" x14ac:dyDescent="0.2">
      <c r="A20" s="14"/>
      <c r="B20" s="14"/>
      <c r="C20" s="14"/>
      <c r="D20" s="14"/>
      <c r="E20" s="14"/>
      <c r="F20" s="14"/>
      <c r="G20" s="14"/>
      <c r="H20" s="14"/>
      <c r="I20" s="14"/>
      <c r="J20" s="14"/>
      <c r="K20" s="14"/>
      <c r="L20" s="14"/>
      <c r="M20" s="14"/>
      <c r="N20" s="14"/>
      <c r="O20" s="14"/>
      <c r="P20" s="14"/>
      <c r="Q20" s="14"/>
    </row>
    <row r="21" spans="1:17" s="13" customFormat="1" ht="15" customHeight="1" x14ac:dyDescent="0.2">
      <c r="A21" s="14"/>
      <c r="B21" s="2398" t="s">
        <v>2399</v>
      </c>
      <c r="C21" s="2398"/>
      <c r="D21" s="2398"/>
      <c r="E21" s="2398"/>
      <c r="F21" s="2398"/>
      <c r="G21" s="2398"/>
      <c r="H21" s="2398"/>
      <c r="I21" s="2398"/>
      <c r="J21" s="2398"/>
      <c r="K21" s="2398"/>
      <c r="L21" s="2398"/>
      <c r="M21" s="2398"/>
      <c r="N21" s="2398"/>
      <c r="O21" s="2398"/>
      <c r="P21" s="2398"/>
      <c r="Q21" s="14"/>
    </row>
    <row r="22" spans="1:17" s="13" customFormat="1" ht="12" customHeight="1" x14ac:dyDescent="0.2">
      <c r="A22" s="14"/>
      <c r="B22" s="14"/>
      <c r="C22" s="14"/>
      <c r="D22" s="14"/>
      <c r="E22" s="14"/>
      <c r="F22" s="14"/>
      <c r="G22" s="14"/>
      <c r="H22" s="14"/>
      <c r="I22" s="14"/>
      <c r="J22" s="14"/>
      <c r="K22" s="14"/>
      <c r="L22" s="14"/>
      <c r="M22" s="14"/>
      <c r="N22" s="14"/>
      <c r="O22" s="14"/>
      <c r="P22" s="14"/>
      <c r="Q22" s="14"/>
    </row>
    <row r="23" spans="1:17" s="823" customFormat="1" ht="30" customHeight="1" x14ac:dyDescent="0.25">
      <c r="A23" s="822"/>
      <c r="B23" s="2395" t="s">
        <v>1768</v>
      </c>
      <c r="C23" s="2395"/>
      <c r="D23" s="2395"/>
      <c r="E23" s="2395"/>
      <c r="F23" s="2395"/>
      <c r="G23" s="2395"/>
      <c r="H23" s="2395"/>
      <c r="I23" s="2395"/>
      <c r="J23" s="2395"/>
      <c r="K23" s="2395"/>
      <c r="L23" s="2395"/>
      <c r="M23" s="2395"/>
      <c r="N23" s="2395"/>
      <c r="O23" s="2395"/>
      <c r="P23" s="2395"/>
      <c r="Q23" s="822"/>
    </row>
    <row r="24" spans="1:17" s="13" customFormat="1" ht="12" customHeight="1" x14ac:dyDescent="0.2">
      <c r="A24" s="14"/>
      <c r="B24" s="14"/>
      <c r="C24" s="14"/>
      <c r="D24" s="14"/>
      <c r="E24" s="14"/>
      <c r="F24" s="14"/>
      <c r="G24" s="14"/>
      <c r="H24" s="14"/>
      <c r="I24" s="14"/>
      <c r="J24" s="14"/>
      <c r="K24" s="14"/>
      <c r="L24" s="14"/>
      <c r="M24" s="14"/>
      <c r="N24" s="14"/>
      <c r="O24" s="14"/>
      <c r="P24" s="14"/>
      <c r="Q24" s="14"/>
    </row>
    <row r="25" spans="1:17" s="823" customFormat="1" ht="30" customHeight="1" x14ac:dyDescent="0.25">
      <c r="A25" s="822"/>
      <c r="B25" s="2395" t="s">
        <v>2404</v>
      </c>
      <c r="C25" s="2395"/>
      <c r="D25" s="2395"/>
      <c r="E25" s="2395"/>
      <c r="F25" s="2395"/>
      <c r="G25" s="2395"/>
      <c r="H25" s="2395"/>
      <c r="I25" s="2395"/>
      <c r="J25" s="2395"/>
      <c r="K25" s="2395"/>
      <c r="L25" s="2395"/>
      <c r="M25" s="2395"/>
      <c r="N25" s="2395"/>
      <c r="O25" s="2395"/>
      <c r="P25" s="2395"/>
      <c r="Q25" s="822"/>
    </row>
    <row r="26" spans="1:17" s="13" customFormat="1" ht="12" customHeight="1" x14ac:dyDescent="0.2">
      <c r="A26" s="14"/>
      <c r="B26" s="14"/>
      <c r="C26" s="14"/>
      <c r="D26" s="14"/>
      <c r="E26" s="14"/>
      <c r="F26" s="14"/>
      <c r="G26" s="14"/>
      <c r="H26" s="14"/>
      <c r="I26" s="14"/>
      <c r="J26" s="14"/>
      <c r="K26" s="14"/>
      <c r="L26" s="14"/>
      <c r="M26" s="14"/>
      <c r="N26" s="14"/>
      <c r="O26" s="14"/>
      <c r="P26" s="14"/>
      <c r="Q26" s="14"/>
    </row>
    <row r="27" spans="1:17" s="823" customFormat="1" ht="30" customHeight="1" x14ac:dyDescent="0.25">
      <c r="A27" s="822"/>
      <c r="B27" s="2395" t="s">
        <v>2407</v>
      </c>
      <c r="C27" s="2395"/>
      <c r="D27" s="2395"/>
      <c r="E27" s="2395"/>
      <c r="F27" s="2395"/>
      <c r="G27" s="2395"/>
      <c r="H27" s="2395"/>
      <c r="I27" s="2395"/>
      <c r="J27" s="2395"/>
      <c r="K27" s="2395"/>
      <c r="L27" s="2395"/>
      <c r="M27" s="2395"/>
      <c r="N27" s="2395"/>
      <c r="O27" s="2395"/>
      <c r="P27" s="2395"/>
      <c r="Q27" s="822"/>
    </row>
    <row r="28" spans="1:17" s="13" customFormat="1" ht="12" customHeight="1" x14ac:dyDescent="0.2">
      <c r="A28" s="14"/>
      <c r="B28" s="14"/>
      <c r="C28" s="14"/>
      <c r="D28" s="14"/>
      <c r="E28" s="14"/>
      <c r="F28" s="14"/>
      <c r="G28" s="14"/>
      <c r="H28" s="14"/>
      <c r="I28" s="14"/>
      <c r="J28" s="14"/>
      <c r="K28" s="14"/>
      <c r="L28" s="14"/>
      <c r="M28" s="14"/>
      <c r="N28" s="14"/>
      <c r="O28" s="14"/>
      <c r="P28" s="14"/>
      <c r="Q28" s="14"/>
    </row>
    <row r="29" spans="1:17" s="823" customFormat="1" ht="30" customHeight="1" x14ac:dyDescent="0.25">
      <c r="A29" s="822"/>
      <c r="B29" s="2395" t="s">
        <v>1769</v>
      </c>
      <c r="C29" s="2395"/>
      <c r="D29" s="2395"/>
      <c r="E29" s="2395"/>
      <c r="F29" s="2395"/>
      <c r="G29" s="2395"/>
      <c r="H29" s="2395"/>
      <c r="I29" s="2395"/>
      <c r="J29" s="2395"/>
      <c r="K29" s="2395"/>
      <c r="L29" s="2395"/>
      <c r="M29" s="2395"/>
      <c r="N29" s="2395"/>
      <c r="O29" s="2395"/>
      <c r="P29" s="2395"/>
      <c r="Q29" s="822"/>
    </row>
    <row r="30" spans="1:17" s="13" customFormat="1" ht="12" customHeight="1" x14ac:dyDescent="0.2">
      <c r="A30" s="14"/>
      <c r="B30" s="14"/>
      <c r="C30" s="14"/>
      <c r="D30" s="14"/>
      <c r="E30" s="14"/>
      <c r="F30" s="14"/>
      <c r="G30" s="14"/>
      <c r="H30" s="14"/>
      <c r="I30" s="14"/>
      <c r="J30" s="14"/>
      <c r="K30" s="14"/>
      <c r="L30" s="14"/>
      <c r="M30" s="14"/>
      <c r="N30" s="14"/>
      <c r="O30" s="14"/>
      <c r="P30" s="14"/>
      <c r="Q30" s="14"/>
    </row>
    <row r="31" spans="1:17" s="13" customFormat="1" ht="15" customHeight="1" x14ac:dyDescent="0.2">
      <c r="A31" s="14"/>
      <c r="B31" s="2398" t="s">
        <v>2403</v>
      </c>
      <c r="C31" s="2398"/>
      <c r="D31" s="2398"/>
      <c r="E31" s="2398"/>
      <c r="F31" s="2398"/>
      <c r="G31" s="2398"/>
      <c r="H31" s="2398"/>
      <c r="I31" s="2398"/>
      <c r="J31" s="2398"/>
      <c r="K31" s="2398"/>
      <c r="L31" s="2398"/>
      <c r="M31" s="2398"/>
      <c r="N31" s="2398"/>
      <c r="O31" s="2398"/>
      <c r="P31" s="2398"/>
      <c r="Q31" s="14"/>
    </row>
    <row r="32" spans="1:17" s="13" customFormat="1" ht="12" customHeight="1" x14ac:dyDescent="0.2">
      <c r="A32" s="14"/>
      <c r="B32" s="14"/>
      <c r="C32" s="14"/>
      <c r="D32" s="14"/>
      <c r="E32" s="14"/>
      <c r="F32" s="14"/>
      <c r="G32" s="14"/>
      <c r="H32" s="14"/>
      <c r="I32" s="14"/>
      <c r="J32" s="14"/>
      <c r="K32" s="14"/>
      <c r="L32" s="14"/>
      <c r="M32" s="14"/>
      <c r="N32" s="14"/>
      <c r="O32" s="14"/>
      <c r="P32" s="14"/>
      <c r="Q32" s="14"/>
    </row>
    <row r="33" spans="1:17" s="13" customFormat="1" ht="15" customHeight="1" x14ac:dyDescent="0.2">
      <c r="A33" s="14"/>
      <c r="B33" s="2398" t="s">
        <v>2400</v>
      </c>
      <c r="C33" s="2398"/>
      <c r="D33" s="2398"/>
      <c r="E33" s="2398"/>
      <c r="F33" s="2398"/>
      <c r="G33" s="2398"/>
      <c r="H33" s="2398"/>
      <c r="I33" s="2398"/>
      <c r="J33" s="2398"/>
      <c r="K33" s="2398"/>
      <c r="L33" s="2398"/>
      <c r="M33" s="2398"/>
      <c r="N33" s="2398"/>
      <c r="O33" s="2398"/>
      <c r="P33" s="2398"/>
      <c r="Q33" s="14"/>
    </row>
    <row r="34" spans="1:17" s="13" customFormat="1" ht="18.75" customHeight="1" x14ac:dyDescent="0.2">
      <c r="A34" s="347"/>
      <c r="B34" s="347"/>
      <c r="C34" s="347"/>
      <c r="D34" s="347"/>
      <c r="E34" s="347"/>
      <c r="F34" s="347"/>
      <c r="G34" s="347"/>
      <c r="H34" s="347"/>
      <c r="I34" s="347"/>
      <c r="J34" s="347"/>
      <c r="K34" s="347"/>
      <c r="L34" s="347"/>
      <c r="M34" s="347"/>
      <c r="N34" s="347"/>
      <c r="O34" s="347"/>
      <c r="P34" s="347"/>
      <c r="Q34" s="347"/>
    </row>
    <row r="35" spans="1:17" s="13" customFormat="1" ht="21" customHeight="1" x14ac:dyDescent="0.2">
      <c r="A35" s="2400" t="s">
        <v>2334</v>
      </c>
      <c r="B35" s="2400"/>
      <c r="C35" s="2400"/>
      <c r="D35" s="2400"/>
      <c r="E35" s="2400"/>
      <c r="F35" s="2400"/>
      <c r="G35" s="14"/>
      <c r="H35" s="14"/>
      <c r="I35" s="14"/>
      <c r="J35" s="14"/>
      <c r="K35" s="14"/>
      <c r="L35" s="14"/>
      <c r="M35" s="14"/>
      <c r="N35" s="14"/>
      <c r="O35" s="14"/>
      <c r="P35" s="14"/>
      <c r="Q35" s="14"/>
    </row>
    <row r="36" spans="1:17" s="13" customFormat="1" ht="15" customHeight="1" x14ac:dyDescent="0.2">
      <c r="A36" s="14"/>
      <c r="B36" s="14"/>
      <c r="C36" s="14"/>
      <c r="D36" s="14"/>
      <c r="E36" s="14"/>
      <c r="F36" s="14"/>
      <c r="G36" s="14"/>
      <c r="H36" s="14"/>
      <c r="I36" s="14"/>
      <c r="J36" s="14"/>
      <c r="K36" s="14"/>
      <c r="L36" s="14"/>
      <c r="M36" s="14"/>
      <c r="N36" s="14"/>
      <c r="O36" s="14"/>
      <c r="P36" s="14"/>
      <c r="Q36" s="14"/>
    </row>
    <row r="37" spans="1:17" s="13" customFormat="1" ht="15" customHeight="1" x14ac:dyDescent="0.2">
      <c r="A37" s="14"/>
      <c r="B37" s="2398" t="s">
        <v>1770</v>
      </c>
      <c r="C37" s="2398"/>
      <c r="D37" s="2398"/>
      <c r="E37" s="2398"/>
      <c r="F37" s="2398"/>
      <c r="G37" s="2398"/>
      <c r="H37" s="2398"/>
      <c r="I37" s="2398"/>
      <c r="J37" s="2398"/>
      <c r="K37" s="2398"/>
      <c r="L37" s="2398"/>
      <c r="M37" s="2398"/>
      <c r="N37" s="2398"/>
      <c r="O37" s="2398"/>
      <c r="P37" s="2398"/>
      <c r="Q37" s="14"/>
    </row>
    <row r="38" spans="1:17" s="13" customFormat="1" ht="12" customHeight="1" x14ac:dyDescent="0.2">
      <c r="A38" s="14"/>
      <c r="B38" s="14"/>
      <c r="C38" s="14"/>
      <c r="D38" s="14"/>
      <c r="E38" s="14"/>
      <c r="F38" s="14"/>
      <c r="G38" s="14"/>
      <c r="H38" s="14"/>
      <c r="I38" s="14"/>
      <c r="J38" s="14"/>
      <c r="K38" s="14"/>
      <c r="L38" s="14"/>
      <c r="M38" s="14"/>
      <c r="N38" s="14"/>
      <c r="O38" s="14"/>
      <c r="P38" s="14"/>
      <c r="Q38" s="14"/>
    </row>
    <row r="39" spans="1:17" s="13" customFormat="1" ht="15" customHeight="1" x14ac:dyDescent="0.2">
      <c r="A39" s="14"/>
      <c r="B39" s="2398" t="s">
        <v>1771</v>
      </c>
      <c r="C39" s="2398"/>
      <c r="D39" s="2398"/>
      <c r="E39" s="2398"/>
      <c r="F39" s="2398"/>
      <c r="G39" s="2398"/>
      <c r="H39" s="2398"/>
      <c r="I39" s="2398"/>
      <c r="J39" s="2398"/>
      <c r="K39" s="2398"/>
      <c r="L39" s="2398"/>
      <c r="M39" s="2398"/>
      <c r="N39" s="2398"/>
      <c r="O39" s="2398"/>
      <c r="P39" s="2398"/>
      <c r="Q39" s="14"/>
    </row>
    <row r="40" spans="1:17" s="13" customFormat="1" ht="12" customHeight="1" x14ac:dyDescent="0.2">
      <c r="A40" s="14"/>
      <c r="B40" s="14"/>
      <c r="C40" s="14"/>
      <c r="D40" s="14"/>
      <c r="E40" s="14"/>
      <c r="F40" s="14"/>
      <c r="G40" s="14"/>
      <c r="H40" s="14"/>
      <c r="I40" s="14"/>
      <c r="J40" s="14"/>
      <c r="K40" s="14"/>
      <c r="L40" s="14"/>
      <c r="M40" s="14"/>
      <c r="N40" s="14"/>
      <c r="O40" s="14"/>
      <c r="P40" s="14"/>
      <c r="Q40" s="14"/>
    </row>
    <row r="41" spans="1:17" s="13" customFormat="1" ht="15" customHeight="1" x14ac:dyDescent="0.2">
      <c r="A41" s="14"/>
      <c r="B41" s="2398" t="s">
        <v>1772</v>
      </c>
      <c r="C41" s="2398"/>
      <c r="D41" s="2398"/>
      <c r="E41" s="2398"/>
      <c r="F41" s="2398"/>
      <c r="G41" s="2398"/>
      <c r="H41" s="2398"/>
      <c r="I41" s="2398"/>
      <c r="J41" s="2398"/>
      <c r="K41" s="2398"/>
      <c r="L41" s="2398"/>
      <c r="M41" s="2398"/>
      <c r="N41" s="2398"/>
      <c r="O41" s="2398"/>
      <c r="P41" s="2398"/>
      <c r="Q41" s="14"/>
    </row>
    <row r="42" spans="1:17" s="13" customFormat="1" ht="12" customHeight="1" x14ac:dyDescent="0.2">
      <c r="A42" s="14"/>
      <c r="B42" s="14"/>
      <c r="C42" s="14"/>
      <c r="D42" s="14"/>
      <c r="E42" s="14"/>
      <c r="F42" s="14"/>
      <c r="G42" s="14"/>
      <c r="H42" s="14"/>
      <c r="I42" s="14"/>
      <c r="J42" s="14"/>
      <c r="K42" s="14"/>
      <c r="L42" s="14"/>
      <c r="M42" s="14"/>
      <c r="N42" s="14"/>
      <c r="O42" s="14"/>
      <c r="P42" s="14"/>
      <c r="Q42" s="14"/>
    </row>
    <row r="43" spans="1:17" s="13" customFormat="1" ht="105.75" customHeight="1" x14ac:dyDescent="0.2">
      <c r="A43" s="14"/>
      <c r="B43" s="2395" t="s">
        <v>2406</v>
      </c>
      <c r="C43" s="2395"/>
      <c r="D43" s="2395"/>
      <c r="E43" s="2395"/>
      <c r="F43" s="2395"/>
      <c r="G43" s="2395"/>
      <c r="H43" s="2395"/>
      <c r="I43" s="2395"/>
      <c r="J43" s="2395"/>
      <c r="K43" s="2395"/>
      <c r="L43" s="2395"/>
      <c r="M43" s="2395"/>
      <c r="N43" s="2395"/>
      <c r="O43" s="2395"/>
      <c r="P43" s="2395"/>
      <c r="Q43" s="14"/>
    </row>
    <row r="44" spans="1:17" s="13" customFormat="1" ht="12" customHeight="1" x14ac:dyDescent="0.2">
      <c r="A44" s="14"/>
      <c r="B44" s="14"/>
      <c r="C44" s="14"/>
      <c r="D44" s="14"/>
      <c r="E44" s="14"/>
      <c r="F44" s="14"/>
      <c r="G44" s="14"/>
      <c r="H44" s="14"/>
      <c r="I44" s="14"/>
      <c r="J44" s="14"/>
      <c r="K44" s="14"/>
      <c r="L44" s="14"/>
      <c r="M44" s="14"/>
      <c r="N44" s="14"/>
      <c r="O44" s="14"/>
      <c r="P44" s="14"/>
      <c r="Q44" s="14"/>
    </row>
    <row r="45" spans="1:17" s="13" customFormat="1" ht="22.5" customHeight="1" x14ac:dyDescent="0.2">
      <c r="A45" s="14"/>
      <c r="B45" s="2396" t="s">
        <v>1773</v>
      </c>
      <c r="C45" s="2396"/>
      <c r="D45" s="2396"/>
      <c r="E45" s="2396"/>
      <c r="F45" s="2396"/>
      <c r="G45" s="2396"/>
      <c r="H45" s="2396"/>
      <c r="I45" s="2396"/>
      <c r="J45" s="2396"/>
      <c r="K45" s="2396"/>
      <c r="L45" s="2396"/>
      <c r="M45" s="2396"/>
      <c r="N45" s="2396"/>
      <c r="O45" s="2396"/>
      <c r="P45" s="2396"/>
      <c r="Q45" s="14"/>
    </row>
    <row r="46" spans="1:17" s="13" customFormat="1" ht="15" customHeight="1" x14ac:dyDescent="0.2">
      <c r="A46" s="14"/>
      <c r="B46" s="2396"/>
      <c r="C46" s="2396"/>
      <c r="D46" s="2396"/>
      <c r="E46" s="2396"/>
      <c r="F46" s="2396"/>
      <c r="G46" s="2396"/>
      <c r="H46" s="2396"/>
      <c r="I46" s="2396"/>
      <c r="J46" s="2396"/>
      <c r="K46" s="2396"/>
      <c r="L46" s="2396"/>
      <c r="M46" s="2396"/>
      <c r="N46" s="2396"/>
      <c r="O46" s="2396"/>
      <c r="P46" s="2396"/>
      <c r="Q46" s="14"/>
    </row>
    <row r="47" spans="1:17" s="13" customFormat="1" ht="12" customHeight="1" x14ac:dyDescent="0.2">
      <c r="A47" s="14"/>
      <c r="B47" s="14"/>
      <c r="C47" s="14"/>
      <c r="D47" s="14"/>
      <c r="E47" s="14"/>
      <c r="F47" s="14"/>
      <c r="G47" s="14"/>
      <c r="H47" s="14"/>
      <c r="I47" s="14"/>
      <c r="J47" s="14"/>
      <c r="K47" s="14"/>
      <c r="L47" s="14"/>
      <c r="M47" s="14"/>
      <c r="N47" s="14"/>
      <c r="O47" s="14"/>
      <c r="P47" s="14"/>
      <c r="Q47" s="14"/>
    </row>
    <row r="48" spans="1:17" s="13" customFormat="1" ht="15" hidden="1" customHeight="1" x14ac:dyDescent="0.2">
      <c r="A48" s="14"/>
      <c r="B48" s="14" t="s">
        <v>925</v>
      </c>
      <c r="C48" s="14"/>
      <c r="D48" s="14"/>
      <c r="E48" s="14"/>
      <c r="F48" s="14"/>
      <c r="G48" s="14"/>
      <c r="H48" s="14"/>
      <c r="I48" s="14"/>
      <c r="J48" s="14"/>
      <c r="K48" s="14"/>
      <c r="L48" s="14"/>
      <c r="M48" s="14"/>
      <c r="N48" s="14"/>
      <c r="O48" s="14"/>
      <c r="P48" s="14"/>
      <c r="Q48" s="14"/>
    </row>
    <row r="49" spans="1:17" s="13" customFormat="1" ht="15" hidden="1" customHeight="1" x14ac:dyDescent="0.2">
      <c r="A49" s="14"/>
      <c r="B49" s="14"/>
      <c r="C49" s="14"/>
      <c r="D49" s="14"/>
      <c r="E49" s="14"/>
      <c r="F49" s="14"/>
      <c r="G49" s="14"/>
      <c r="H49" s="14"/>
      <c r="I49" s="14"/>
      <c r="J49" s="14"/>
      <c r="K49" s="14"/>
      <c r="L49" s="14"/>
      <c r="M49" s="14"/>
      <c r="N49" s="14"/>
      <c r="O49" s="14"/>
      <c r="P49" s="14"/>
      <c r="Q49" s="14"/>
    </row>
    <row r="50" spans="1:17" s="13" customFormat="1" ht="15" hidden="1" customHeight="1" x14ac:dyDescent="0.2">
      <c r="A50" s="14"/>
      <c r="B50" s="14" t="s">
        <v>926</v>
      </c>
      <c r="C50" s="14"/>
      <c r="D50" s="14"/>
      <c r="E50" s="14"/>
      <c r="F50" s="14"/>
      <c r="G50" s="14"/>
      <c r="H50" s="14"/>
      <c r="I50" s="14"/>
      <c r="J50" s="14"/>
      <c r="K50" s="14"/>
      <c r="L50" s="14"/>
      <c r="M50" s="14"/>
      <c r="N50" s="14"/>
      <c r="O50" s="14"/>
      <c r="P50" s="14"/>
      <c r="Q50" s="14"/>
    </row>
    <row r="51" spans="1:17" s="13" customFormat="1" ht="15" hidden="1" customHeight="1" x14ac:dyDescent="0.2">
      <c r="A51" s="14"/>
      <c r="B51" s="14"/>
      <c r="C51" s="14"/>
      <c r="D51" s="14"/>
      <c r="E51" s="14"/>
      <c r="F51" s="14"/>
      <c r="G51" s="14"/>
      <c r="H51" s="14"/>
      <c r="I51" s="14"/>
      <c r="J51" s="14"/>
      <c r="K51" s="14"/>
      <c r="L51" s="14"/>
      <c r="M51" s="14"/>
      <c r="N51" s="14"/>
      <c r="O51" s="14"/>
      <c r="P51" s="14"/>
      <c r="Q51" s="14"/>
    </row>
    <row r="52" spans="1:17" s="13" customFormat="1" ht="39" customHeight="1" x14ac:dyDescent="0.2">
      <c r="A52" s="14"/>
      <c r="B52" s="2397" t="s">
        <v>1774</v>
      </c>
      <c r="C52" s="2397"/>
      <c r="D52" s="2397"/>
      <c r="E52" s="2397"/>
      <c r="F52" s="2397"/>
      <c r="G52" s="2397"/>
      <c r="H52" s="2397"/>
      <c r="I52" s="2397"/>
      <c r="J52" s="2397"/>
      <c r="K52" s="2397"/>
      <c r="L52" s="2397"/>
      <c r="M52" s="2397"/>
      <c r="N52" s="2397"/>
      <c r="O52" s="2397"/>
      <c r="P52" s="2397"/>
      <c r="Q52" s="14"/>
    </row>
    <row r="53" spans="1:17" s="13" customFormat="1" ht="21" customHeight="1" x14ac:dyDescent="0.2">
      <c r="A53" s="347"/>
      <c r="B53" s="347"/>
      <c r="C53" s="347"/>
      <c r="D53" s="347"/>
      <c r="E53" s="347"/>
      <c r="F53" s="347"/>
      <c r="G53" s="347"/>
      <c r="H53" s="347"/>
      <c r="I53" s="347"/>
      <c r="J53" s="347"/>
      <c r="K53" s="347"/>
      <c r="L53" s="347"/>
      <c r="M53" s="347"/>
      <c r="N53" s="347"/>
      <c r="O53" s="347"/>
      <c r="P53" s="347"/>
      <c r="Q53" s="347"/>
    </row>
    <row r="54" spans="1:17" s="13" customFormat="1" ht="21.75" customHeight="1" x14ac:dyDescent="0.2">
      <c r="A54" s="2400" t="s">
        <v>1656</v>
      </c>
      <c r="B54" s="2400"/>
      <c r="C54" s="2400"/>
      <c r="D54" s="2400"/>
      <c r="E54" s="2400"/>
      <c r="F54" s="2400"/>
      <c r="G54" s="15"/>
      <c r="H54" s="15"/>
      <c r="I54" s="15"/>
      <c r="J54" s="15"/>
      <c r="K54" s="15"/>
      <c r="L54" s="15"/>
      <c r="M54" s="15"/>
      <c r="N54" s="15"/>
      <c r="O54" s="15"/>
      <c r="P54" s="15"/>
      <c r="Q54" s="15"/>
    </row>
    <row r="55" spans="1:17" s="13" customFormat="1" ht="13.5" customHeight="1" x14ac:dyDescent="0.2">
      <c r="A55" s="14"/>
      <c r="B55" s="14"/>
      <c r="C55" s="14"/>
      <c r="D55" s="15"/>
      <c r="E55" s="15"/>
      <c r="F55" s="15"/>
      <c r="G55" s="15"/>
      <c r="H55" s="15"/>
      <c r="I55" s="15"/>
      <c r="J55" s="15"/>
      <c r="K55" s="15"/>
      <c r="L55" s="15"/>
      <c r="M55" s="15"/>
      <c r="N55" s="15"/>
      <c r="O55" s="15"/>
      <c r="P55" s="15"/>
      <c r="Q55" s="15"/>
    </row>
    <row r="56" spans="1:17" s="13" customFormat="1" ht="15" customHeight="1" x14ac:dyDescent="0.2">
      <c r="A56" s="14"/>
      <c r="B56" s="14"/>
      <c r="C56" s="14"/>
      <c r="D56" s="15"/>
      <c r="E56" s="15"/>
      <c r="F56" s="15"/>
      <c r="G56" s="15"/>
      <c r="H56" s="15"/>
      <c r="I56" s="15"/>
      <c r="J56" s="15"/>
      <c r="K56" s="15"/>
      <c r="L56" s="15"/>
      <c r="M56" s="15"/>
      <c r="N56" s="15"/>
      <c r="O56" s="15"/>
      <c r="P56" s="15"/>
      <c r="Q56" s="15"/>
    </row>
    <row r="57" spans="1:17" s="13" customFormat="1" ht="15" customHeight="1" x14ac:dyDescent="0.2">
      <c r="A57" s="14"/>
      <c r="B57" s="14"/>
      <c r="C57" s="14"/>
      <c r="D57" s="15"/>
      <c r="E57" s="15"/>
      <c r="F57" s="15"/>
      <c r="G57" s="15"/>
      <c r="H57" s="15"/>
      <c r="I57" s="15"/>
      <c r="J57" s="493"/>
      <c r="K57" s="493"/>
      <c r="L57" s="493"/>
      <c r="M57" s="493"/>
      <c r="N57" s="493"/>
      <c r="O57" s="493"/>
      <c r="P57" s="15"/>
      <c r="Q57" s="15"/>
    </row>
    <row r="58" spans="1:17" s="13" customFormat="1" ht="15" customHeight="1" x14ac:dyDescent="0.2">
      <c r="A58" s="14"/>
      <c r="B58" s="14"/>
      <c r="C58" s="14"/>
      <c r="D58" s="15"/>
      <c r="E58" s="15"/>
      <c r="F58" s="15"/>
      <c r="G58" s="15"/>
      <c r="H58" s="15"/>
      <c r="I58" s="15"/>
      <c r="J58" s="2401" t="s">
        <v>1877</v>
      </c>
      <c r="K58" s="2401"/>
      <c r="L58" s="2401"/>
      <c r="M58" s="2401"/>
      <c r="N58" s="2401"/>
      <c r="O58" s="2401"/>
      <c r="P58" s="2401"/>
      <c r="Q58" s="15"/>
    </row>
    <row r="59" spans="1:17" s="13" customFormat="1" ht="15" customHeight="1" x14ac:dyDescent="0.2">
      <c r="A59" s="14"/>
      <c r="B59" s="14"/>
      <c r="C59" s="14"/>
      <c r="D59" s="15"/>
      <c r="E59" s="15"/>
      <c r="F59" s="15"/>
      <c r="G59" s="15"/>
      <c r="H59" s="15"/>
      <c r="I59" s="15"/>
      <c r="J59" s="2401"/>
      <c r="K59" s="2401"/>
      <c r="L59" s="2401"/>
      <c r="M59" s="2401"/>
      <c r="N59" s="2401"/>
      <c r="O59" s="2401"/>
      <c r="P59" s="2401"/>
      <c r="Q59" s="15"/>
    </row>
    <row r="60" spans="1:17" s="13" customFormat="1" ht="15" customHeight="1" x14ac:dyDescent="0.2">
      <c r="A60" s="14"/>
      <c r="B60" s="14"/>
      <c r="C60" s="14"/>
      <c r="D60" s="15"/>
      <c r="E60" s="15"/>
      <c r="F60" s="15"/>
      <c r="G60" s="15"/>
      <c r="H60" s="15"/>
      <c r="I60" s="15"/>
      <c r="J60" s="2401"/>
      <c r="K60" s="2401"/>
      <c r="L60" s="2401"/>
      <c r="M60" s="2401"/>
      <c r="N60" s="2401"/>
      <c r="O60" s="2401"/>
      <c r="P60" s="2401"/>
      <c r="Q60" s="15"/>
    </row>
    <row r="61" spans="1:17" s="13" customFormat="1" ht="15" customHeight="1" x14ac:dyDescent="0.2">
      <c r="A61" s="14"/>
      <c r="B61" s="14"/>
      <c r="C61" s="14"/>
      <c r="D61" s="15"/>
      <c r="E61" s="15"/>
      <c r="F61" s="15"/>
      <c r="G61" s="15"/>
      <c r="H61" s="15"/>
      <c r="I61" s="15"/>
      <c r="J61" s="2401"/>
      <c r="K61" s="2401"/>
      <c r="L61" s="2401"/>
      <c r="M61" s="2401"/>
      <c r="N61" s="2401"/>
      <c r="O61" s="2401"/>
      <c r="P61" s="2401"/>
      <c r="Q61" s="15"/>
    </row>
    <row r="62" spans="1:17" s="13" customFormat="1" ht="15" customHeight="1" x14ac:dyDescent="0.2">
      <c r="A62" s="14"/>
      <c r="B62" s="14"/>
      <c r="C62" s="14"/>
      <c r="D62" s="15"/>
      <c r="E62" s="15"/>
      <c r="F62" s="15"/>
      <c r="G62" s="15"/>
      <c r="H62" s="15"/>
      <c r="I62" s="15"/>
      <c r="J62" s="2401" t="s">
        <v>1878</v>
      </c>
      <c r="K62" s="2401"/>
      <c r="L62" s="2401"/>
      <c r="M62" s="2401"/>
      <c r="N62" s="2401"/>
      <c r="O62" s="2401"/>
      <c r="P62" s="2401"/>
      <c r="Q62" s="15"/>
    </row>
    <row r="63" spans="1:17" s="13" customFormat="1" ht="15" customHeight="1" x14ac:dyDescent="0.2">
      <c r="A63" s="14"/>
      <c r="B63" s="14"/>
      <c r="C63" s="14"/>
      <c r="D63" s="15"/>
      <c r="E63" s="15"/>
      <c r="F63" s="15"/>
      <c r="G63" s="15"/>
      <c r="H63" s="15"/>
      <c r="I63" s="15"/>
      <c r="J63" s="2401"/>
      <c r="K63" s="2401"/>
      <c r="L63" s="2401"/>
      <c r="M63" s="2401"/>
      <c r="N63" s="2401"/>
      <c r="O63" s="2401"/>
      <c r="P63" s="2401"/>
      <c r="Q63" s="15"/>
    </row>
    <row r="64" spans="1:17" s="13" customFormat="1" ht="15" customHeight="1" x14ac:dyDescent="0.2">
      <c r="A64" s="14"/>
      <c r="B64" s="14"/>
      <c r="C64" s="14"/>
      <c r="D64" s="15"/>
      <c r="E64" s="15"/>
      <c r="F64" s="15"/>
      <c r="G64" s="15"/>
      <c r="H64" s="15"/>
      <c r="I64" s="15"/>
      <c r="J64" s="2401"/>
      <c r="K64" s="2401"/>
      <c r="L64" s="2401"/>
      <c r="M64" s="2401"/>
      <c r="N64" s="2401"/>
      <c r="O64" s="2401"/>
      <c r="P64" s="2401"/>
      <c r="Q64" s="15"/>
    </row>
    <row r="65" spans="1:17" s="13" customFormat="1" ht="15" customHeight="1" x14ac:dyDescent="0.2">
      <c r="A65" s="14"/>
      <c r="B65" s="14"/>
      <c r="C65" s="14"/>
      <c r="D65" s="15"/>
      <c r="E65" s="15"/>
      <c r="F65" s="15"/>
      <c r="G65" s="15"/>
      <c r="H65" s="15"/>
      <c r="I65" s="15"/>
      <c r="J65" s="2401"/>
      <c r="K65" s="2401"/>
      <c r="L65" s="2401"/>
      <c r="M65" s="2401"/>
      <c r="N65" s="2401"/>
      <c r="O65" s="2401"/>
      <c r="P65" s="2401"/>
      <c r="Q65" s="15"/>
    </row>
    <row r="66" spans="1:17" s="13" customFormat="1" ht="15" customHeight="1" x14ac:dyDescent="0.2">
      <c r="A66" s="14"/>
      <c r="B66" s="14"/>
      <c r="C66" s="14"/>
      <c r="D66" s="15"/>
      <c r="E66" s="15"/>
      <c r="F66" s="15"/>
      <c r="G66" s="15"/>
      <c r="H66" s="15"/>
      <c r="I66" s="15"/>
      <c r="J66" s="2399" t="s">
        <v>1879</v>
      </c>
      <c r="K66" s="2399"/>
      <c r="L66" s="2399"/>
      <c r="M66" s="2399"/>
      <c r="N66" s="2399"/>
      <c r="O66" s="2399"/>
      <c r="P66" s="2399"/>
      <c r="Q66" s="15"/>
    </row>
    <row r="67" spans="1:17" s="13" customFormat="1" ht="15" customHeight="1" x14ac:dyDescent="0.2">
      <c r="A67" s="14"/>
      <c r="B67" s="14"/>
      <c r="C67" s="14"/>
      <c r="D67" s="15"/>
      <c r="E67" s="15"/>
      <c r="F67" s="15"/>
      <c r="G67" s="15"/>
      <c r="H67" s="15"/>
      <c r="I67" s="15"/>
      <c r="J67" s="2399"/>
      <c r="K67" s="2399"/>
      <c r="L67" s="2399"/>
      <c r="M67" s="2399"/>
      <c r="N67" s="2399"/>
      <c r="O67" s="2399"/>
      <c r="P67" s="2399"/>
      <c r="Q67" s="15"/>
    </row>
    <row r="68" spans="1:17" s="13" customFormat="1" ht="15.75" customHeight="1" x14ac:dyDescent="0.2">
      <c r="A68" s="14"/>
      <c r="B68" s="14"/>
      <c r="C68" s="14"/>
      <c r="D68" s="15"/>
      <c r="E68" s="15"/>
      <c r="F68" s="15"/>
      <c r="G68" s="15"/>
      <c r="H68" s="15"/>
      <c r="I68" s="15"/>
      <c r="J68" s="2399"/>
      <c r="K68" s="2399"/>
      <c r="L68" s="2399"/>
      <c r="M68" s="2399"/>
      <c r="N68" s="2399"/>
      <c r="O68" s="2399"/>
      <c r="P68" s="2399"/>
      <c r="Q68" s="15"/>
    </row>
    <row r="69" spans="1:17" s="13" customFormat="1" ht="15" customHeight="1" x14ac:dyDescent="0.2">
      <c r="A69" s="14"/>
      <c r="B69" s="14"/>
      <c r="C69" s="14"/>
      <c r="D69" s="15"/>
      <c r="E69" s="15"/>
      <c r="F69" s="15"/>
      <c r="G69" s="15"/>
      <c r="H69" s="15"/>
      <c r="I69" s="15"/>
      <c r="J69" s="2399" t="s">
        <v>1880</v>
      </c>
      <c r="K69" s="2399"/>
      <c r="L69" s="2399"/>
      <c r="M69" s="2399"/>
      <c r="N69" s="2399"/>
      <c r="O69" s="2399"/>
      <c r="P69" s="2399"/>
      <c r="Q69" s="15"/>
    </row>
    <row r="70" spans="1:17" s="13" customFormat="1" ht="15" customHeight="1" x14ac:dyDescent="0.2">
      <c r="A70" s="14"/>
      <c r="B70" s="14"/>
      <c r="C70" s="14"/>
      <c r="D70" s="15"/>
      <c r="E70" s="15"/>
      <c r="F70" s="15"/>
      <c r="G70" s="15"/>
      <c r="H70" s="15"/>
      <c r="I70" s="15"/>
      <c r="J70" s="2399"/>
      <c r="K70" s="2399"/>
      <c r="L70" s="2399"/>
      <c r="M70" s="2399"/>
      <c r="N70" s="2399"/>
      <c r="O70" s="2399"/>
      <c r="P70" s="2399"/>
      <c r="Q70" s="15"/>
    </row>
    <row r="71" spans="1:17" s="13" customFormat="1" ht="15" customHeight="1" x14ac:dyDescent="0.2">
      <c r="A71" s="14"/>
      <c r="B71" s="14"/>
      <c r="C71" s="14"/>
      <c r="D71" s="15"/>
      <c r="E71" s="15"/>
      <c r="F71" s="15"/>
      <c r="G71" s="15"/>
      <c r="H71" s="15"/>
      <c r="I71" s="15"/>
      <c r="J71" s="2399"/>
      <c r="K71" s="2399"/>
      <c r="L71" s="2399"/>
      <c r="M71" s="2399"/>
      <c r="N71" s="2399"/>
      <c r="O71" s="2399"/>
      <c r="P71" s="2399"/>
      <c r="Q71" s="15"/>
    </row>
    <row r="72" spans="1:17" s="13" customFormat="1" ht="15" customHeight="1" x14ac:dyDescent="0.2">
      <c r="A72" s="14"/>
      <c r="B72" s="14"/>
      <c r="C72" s="14"/>
      <c r="D72" s="15"/>
      <c r="E72" s="15"/>
      <c r="F72" s="15"/>
      <c r="G72" s="15"/>
      <c r="H72" s="15"/>
      <c r="I72" s="15"/>
      <c r="J72" s="2399" t="s">
        <v>1881</v>
      </c>
      <c r="K72" s="2399"/>
      <c r="L72" s="2399"/>
      <c r="M72" s="2399"/>
      <c r="N72" s="2399"/>
      <c r="O72" s="2399"/>
      <c r="P72" s="2399"/>
      <c r="Q72" s="15"/>
    </row>
    <row r="73" spans="1:17" s="13" customFormat="1" ht="15" customHeight="1" x14ac:dyDescent="0.2">
      <c r="A73" s="14"/>
      <c r="B73" s="14"/>
      <c r="C73" s="14"/>
      <c r="D73" s="15"/>
      <c r="E73" s="15"/>
      <c r="F73" s="15"/>
      <c r="G73" s="15"/>
      <c r="H73" s="15"/>
      <c r="I73" s="15"/>
      <c r="J73" s="2399"/>
      <c r="K73" s="2399"/>
      <c r="L73" s="2399"/>
      <c r="M73" s="2399"/>
      <c r="N73" s="2399"/>
      <c r="O73" s="2399"/>
      <c r="P73" s="2399"/>
      <c r="Q73" s="15"/>
    </row>
    <row r="74" spans="1:17" s="13" customFormat="1" ht="15" customHeight="1" x14ac:dyDescent="0.2">
      <c r="A74" s="14"/>
      <c r="B74" s="14"/>
      <c r="C74" s="14"/>
      <c r="D74" s="15"/>
      <c r="E74" s="15"/>
      <c r="F74" s="15"/>
      <c r="G74" s="15"/>
      <c r="H74" s="15"/>
      <c r="I74" s="15"/>
      <c r="J74" s="2399"/>
      <c r="K74" s="2399"/>
      <c r="L74" s="2399"/>
      <c r="M74" s="2399"/>
      <c r="N74" s="2399"/>
      <c r="O74" s="2399"/>
      <c r="P74" s="2399"/>
      <c r="Q74" s="15"/>
    </row>
    <row r="75" spans="1:17" s="13" customFormat="1" ht="15" customHeight="1" x14ac:dyDescent="0.2">
      <c r="A75" s="14"/>
      <c r="B75" s="14"/>
      <c r="C75" s="14"/>
      <c r="D75" s="15"/>
      <c r="E75" s="15"/>
      <c r="F75" s="15"/>
      <c r="G75" s="15"/>
      <c r="H75" s="15"/>
      <c r="I75" s="15"/>
      <c r="J75" s="2399" t="s">
        <v>1882</v>
      </c>
      <c r="K75" s="2399"/>
      <c r="L75" s="2399"/>
      <c r="M75" s="2399"/>
      <c r="N75" s="2399"/>
      <c r="O75" s="2399"/>
      <c r="P75" s="2399"/>
      <c r="Q75" s="15"/>
    </row>
    <row r="76" spans="1:17" s="13" customFormat="1" ht="15" customHeight="1" x14ac:dyDescent="0.2">
      <c r="A76" s="14"/>
      <c r="B76" s="14"/>
      <c r="C76" s="14"/>
      <c r="D76" s="15"/>
      <c r="E76" s="15"/>
      <c r="F76" s="15"/>
      <c r="G76" s="15"/>
      <c r="H76" s="15"/>
      <c r="I76" s="15"/>
      <c r="J76" s="2399"/>
      <c r="K76" s="2399"/>
      <c r="L76" s="2399"/>
      <c r="M76" s="2399"/>
      <c r="N76" s="2399"/>
      <c r="O76" s="2399"/>
      <c r="P76" s="2399"/>
      <c r="Q76" s="15"/>
    </row>
    <row r="77" spans="1:17" s="13" customFormat="1" ht="15" customHeight="1" x14ac:dyDescent="0.2">
      <c r="A77" s="14"/>
      <c r="B77" s="14"/>
      <c r="C77" s="14"/>
      <c r="D77" s="15"/>
      <c r="E77" s="15"/>
      <c r="F77" s="15"/>
      <c r="G77" s="15"/>
      <c r="H77" s="15"/>
      <c r="I77" s="15"/>
      <c r="J77" s="2399"/>
      <c r="K77" s="2399"/>
      <c r="L77" s="2399"/>
      <c r="M77" s="2399"/>
      <c r="N77" s="2399"/>
      <c r="O77" s="2399"/>
      <c r="P77" s="2399"/>
      <c r="Q77" s="15"/>
    </row>
    <row r="78" spans="1:17" s="13" customFormat="1" ht="15" customHeight="1" x14ac:dyDescent="0.2">
      <c r="A78" s="14"/>
      <c r="B78" s="14"/>
      <c r="C78" s="14"/>
      <c r="D78" s="15"/>
      <c r="E78" s="15"/>
      <c r="F78" s="15"/>
      <c r="G78" s="15"/>
      <c r="H78" s="15"/>
      <c r="I78" s="15"/>
      <c r="J78" s="15"/>
      <c r="K78" s="15"/>
      <c r="L78" s="15"/>
      <c r="M78" s="15"/>
      <c r="N78" s="15"/>
      <c r="O78" s="15"/>
      <c r="P78" s="15"/>
      <c r="Q78" s="15"/>
    </row>
    <row r="79" spans="1:17" s="13" customFormat="1" ht="15" customHeight="1" x14ac:dyDescent="0.2">
      <c r="A79" s="14"/>
      <c r="B79" s="14"/>
      <c r="C79" s="14"/>
      <c r="D79" s="15"/>
      <c r="E79" s="15"/>
      <c r="F79" s="15"/>
      <c r="G79" s="15"/>
      <c r="H79" s="15"/>
      <c r="I79" s="15"/>
      <c r="J79" s="15"/>
      <c r="K79" s="15"/>
      <c r="L79" s="15"/>
      <c r="M79" s="15"/>
      <c r="N79" s="15"/>
      <c r="O79" s="15"/>
      <c r="P79" s="15"/>
      <c r="Q79" s="15"/>
    </row>
    <row r="80" spans="1:17" s="13" customFormat="1" ht="15" customHeight="1" x14ac:dyDescent="0.2">
      <c r="A80" s="14"/>
      <c r="B80" s="14"/>
      <c r="C80" s="14"/>
      <c r="D80" s="15"/>
      <c r="E80" s="15"/>
      <c r="F80" s="15"/>
      <c r="G80" s="15"/>
      <c r="H80" s="15"/>
      <c r="I80" s="15"/>
      <c r="J80" s="15"/>
      <c r="K80" s="15"/>
      <c r="L80" s="15"/>
      <c r="M80" s="15"/>
      <c r="N80" s="15"/>
      <c r="O80" s="15"/>
      <c r="P80" s="15"/>
      <c r="Q80" s="15"/>
    </row>
    <row r="81" spans="1:17" s="13" customFormat="1" ht="21" customHeight="1" x14ac:dyDescent="0.2">
      <c r="A81" s="347"/>
      <c r="B81" s="347"/>
      <c r="C81" s="347"/>
      <c r="D81" s="347"/>
      <c r="E81" s="347"/>
      <c r="F81" s="347"/>
      <c r="G81" s="347"/>
      <c r="H81" s="347"/>
      <c r="I81" s="347"/>
      <c r="J81" s="347"/>
      <c r="K81" s="347"/>
      <c r="L81" s="347"/>
      <c r="M81" s="347"/>
      <c r="N81" s="347"/>
      <c r="O81" s="347"/>
      <c r="P81" s="347"/>
      <c r="Q81" s="347"/>
    </row>
    <row r="82" spans="1:17" s="13" customFormat="1" ht="21" customHeight="1" x14ac:dyDescent="0.2">
      <c r="A82" s="2400" t="s">
        <v>1655</v>
      </c>
      <c r="B82" s="2400"/>
      <c r="C82" s="2400"/>
      <c r="D82" s="2400"/>
      <c r="E82" s="2400"/>
      <c r="F82" s="2400"/>
      <c r="G82" s="14"/>
      <c r="H82" s="14"/>
      <c r="I82" s="14"/>
      <c r="J82" s="14"/>
      <c r="K82" s="14"/>
      <c r="L82" s="14"/>
      <c r="M82" s="14"/>
      <c r="N82" s="14"/>
      <c r="O82" s="14"/>
      <c r="P82" s="14"/>
      <c r="Q82" s="14"/>
    </row>
    <row r="83" spans="1:17" s="13" customFormat="1" ht="15" customHeight="1" x14ac:dyDescent="0.2">
      <c r="A83" s="14"/>
      <c r="B83" s="14"/>
      <c r="C83" s="14"/>
      <c r="D83" s="14"/>
      <c r="E83" s="14"/>
      <c r="F83" s="14"/>
      <c r="G83" s="14"/>
      <c r="H83" s="14"/>
      <c r="I83" s="14"/>
      <c r="J83" s="14"/>
      <c r="K83" s="14"/>
      <c r="L83" s="14"/>
      <c r="M83" s="14"/>
      <c r="N83" s="14"/>
      <c r="O83" s="14"/>
      <c r="P83" s="14"/>
      <c r="Q83" s="14"/>
    </row>
    <row r="84" spans="1:17" s="13" customFormat="1" ht="15" customHeight="1" x14ac:dyDescent="0.2">
      <c r="A84" s="14"/>
      <c r="B84" s="2395" t="s">
        <v>2007</v>
      </c>
      <c r="C84" s="2395"/>
      <c r="D84" s="2395"/>
      <c r="E84" s="2395"/>
      <c r="F84" s="2395"/>
      <c r="G84" s="2395"/>
      <c r="H84" s="2395"/>
      <c r="I84" s="2395"/>
      <c r="J84" s="2395"/>
      <c r="K84" s="2395"/>
      <c r="L84" s="2395"/>
      <c r="M84" s="2395"/>
      <c r="N84" s="2395"/>
      <c r="O84" s="2395"/>
      <c r="P84" s="2395"/>
      <c r="Q84" s="14"/>
    </row>
    <row r="85" spans="1:17" s="13" customFormat="1" ht="15" customHeight="1" x14ac:dyDescent="0.2">
      <c r="A85" s="14"/>
      <c r="B85" s="14"/>
      <c r="C85" s="14"/>
      <c r="D85" s="14"/>
      <c r="E85" s="14"/>
      <c r="F85" s="14"/>
      <c r="G85" s="14"/>
      <c r="H85" s="14"/>
      <c r="I85" s="14"/>
      <c r="J85" s="14"/>
      <c r="K85" s="14"/>
      <c r="L85" s="14"/>
      <c r="M85" s="14"/>
      <c r="N85" s="14"/>
      <c r="O85" s="14"/>
      <c r="P85" s="14"/>
      <c r="Q85" s="14"/>
    </row>
    <row r="86" spans="1:17" s="13" customFormat="1" ht="39" customHeight="1" x14ac:dyDescent="0.2">
      <c r="A86" s="14"/>
      <c r="B86" s="2395" t="s">
        <v>2008</v>
      </c>
      <c r="C86" s="2395"/>
      <c r="D86" s="2395"/>
      <c r="E86" s="2395"/>
      <c r="F86" s="2395"/>
      <c r="G86" s="2395"/>
      <c r="H86" s="2395"/>
      <c r="I86" s="2395"/>
      <c r="J86" s="2395"/>
      <c r="K86" s="2395"/>
      <c r="L86" s="2395"/>
      <c r="M86" s="2395"/>
      <c r="N86" s="2395"/>
      <c r="O86" s="2395"/>
      <c r="P86" s="2395"/>
      <c r="Q86" s="14"/>
    </row>
    <row r="87" spans="1:17" s="13" customFormat="1" ht="15" customHeight="1" x14ac:dyDescent="0.2">
      <c r="A87" s="14"/>
      <c r="B87" s="14"/>
      <c r="C87" s="14"/>
      <c r="D87" s="14"/>
      <c r="E87" s="14"/>
      <c r="F87" s="14"/>
      <c r="G87" s="14"/>
      <c r="H87" s="14"/>
      <c r="I87" s="14"/>
      <c r="J87" s="14"/>
      <c r="K87" s="14"/>
      <c r="L87" s="14"/>
      <c r="M87" s="14"/>
      <c r="N87" s="14"/>
      <c r="O87" s="14"/>
      <c r="P87" s="14"/>
      <c r="Q87" s="14"/>
    </row>
    <row r="88" spans="1:17" s="823" customFormat="1" ht="30" customHeight="1" x14ac:dyDescent="0.25">
      <c r="A88" s="822"/>
      <c r="B88" s="2395" t="s">
        <v>1981</v>
      </c>
      <c r="C88" s="2395"/>
      <c r="D88" s="2395"/>
      <c r="E88" s="2395"/>
      <c r="F88" s="2395"/>
      <c r="G88" s="2395"/>
      <c r="H88" s="2395"/>
      <c r="I88" s="2395"/>
      <c r="J88" s="2395"/>
      <c r="K88" s="2395"/>
      <c r="L88" s="2395"/>
      <c r="M88" s="2395"/>
      <c r="N88" s="2395"/>
      <c r="O88" s="2395"/>
      <c r="P88" s="2395"/>
      <c r="Q88" s="822"/>
    </row>
    <row r="89" spans="1:17" s="13" customFormat="1" ht="12" customHeight="1" x14ac:dyDescent="0.2">
      <c r="A89" s="14"/>
      <c r="B89" s="14"/>
      <c r="C89" s="14"/>
      <c r="D89" s="14"/>
      <c r="E89" s="14"/>
      <c r="F89" s="14"/>
      <c r="G89" s="14"/>
      <c r="H89" s="14"/>
      <c r="I89" s="14"/>
      <c r="J89" s="14"/>
      <c r="K89" s="14"/>
      <c r="L89" s="14"/>
      <c r="M89" s="14"/>
      <c r="N89" s="14"/>
      <c r="O89" s="14"/>
      <c r="P89" s="14"/>
      <c r="Q89" s="14"/>
    </row>
    <row r="90" spans="1:17" s="823" customFormat="1" ht="30" customHeight="1" x14ac:dyDescent="0.25">
      <c r="A90" s="822"/>
      <c r="B90" s="2395" t="s">
        <v>1982</v>
      </c>
      <c r="C90" s="2395"/>
      <c r="D90" s="2395"/>
      <c r="E90" s="2395"/>
      <c r="F90" s="2395"/>
      <c r="G90" s="2395"/>
      <c r="H90" s="2395"/>
      <c r="I90" s="2395"/>
      <c r="J90" s="2395"/>
      <c r="K90" s="2395"/>
      <c r="L90" s="2395"/>
      <c r="M90" s="2395"/>
      <c r="N90" s="2395"/>
      <c r="O90" s="2395"/>
      <c r="P90" s="2395"/>
      <c r="Q90" s="822"/>
    </row>
    <row r="91" spans="1:17" s="13" customFormat="1" ht="12" customHeight="1" x14ac:dyDescent="0.2">
      <c r="A91" s="14"/>
      <c r="B91" s="14"/>
      <c r="C91" s="14"/>
      <c r="D91" s="14"/>
      <c r="E91" s="14"/>
      <c r="F91" s="14"/>
      <c r="G91" s="14"/>
      <c r="H91" s="14"/>
      <c r="I91" s="14"/>
      <c r="J91" s="14"/>
      <c r="K91" s="14"/>
      <c r="L91" s="14"/>
      <c r="M91" s="14"/>
      <c r="N91" s="14"/>
      <c r="O91" s="14"/>
      <c r="P91" s="14"/>
      <c r="Q91" s="14"/>
    </row>
    <row r="92" spans="1:17" s="13" customFormat="1" ht="27.75" customHeight="1" x14ac:dyDescent="0.2">
      <c r="A92" s="14"/>
      <c r="B92" s="2395" t="s">
        <v>2000</v>
      </c>
      <c r="C92" s="2395"/>
      <c r="D92" s="2395"/>
      <c r="E92" s="2395"/>
      <c r="F92" s="2395"/>
      <c r="G92" s="2395"/>
      <c r="H92" s="2395"/>
      <c r="I92" s="2395"/>
      <c r="J92" s="2395"/>
      <c r="K92" s="2395"/>
      <c r="L92" s="2395"/>
      <c r="M92" s="2395"/>
      <c r="N92" s="2395"/>
      <c r="O92" s="2395"/>
      <c r="P92" s="2395"/>
      <c r="Q92" s="14"/>
    </row>
    <row r="93" spans="1:17" s="13" customFormat="1" ht="12" customHeight="1" x14ac:dyDescent="0.2">
      <c r="A93" s="14"/>
      <c r="B93" s="14"/>
      <c r="C93" s="14"/>
      <c r="D93" s="14"/>
      <c r="E93" s="14"/>
      <c r="F93" s="14"/>
      <c r="G93" s="14"/>
      <c r="H93" s="14"/>
      <c r="I93" s="14"/>
      <c r="J93" s="14"/>
      <c r="K93" s="14"/>
      <c r="L93" s="14"/>
      <c r="M93" s="14"/>
      <c r="N93" s="14"/>
      <c r="O93" s="14"/>
      <c r="P93" s="14"/>
      <c r="Q93" s="14"/>
    </row>
    <row r="94" spans="1:17" s="823" customFormat="1" ht="30" customHeight="1" x14ac:dyDescent="0.25">
      <c r="A94" s="822"/>
      <c r="B94" s="2395" t="s">
        <v>1983</v>
      </c>
      <c r="C94" s="2395"/>
      <c r="D94" s="2395"/>
      <c r="E94" s="2395"/>
      <c r="F94" s="2395"/>
      <c r="G94" s="2395"/>
      <c r="H94" s="2395"/>
      <c r="I94" s="2395"/>
      <c r="J94" s="2395"/>
      <c r="K94" s="2395"/>
      <c r="L94" s="2395"/>
      <c r="M94" s="2395"/>
      <c r="N94" s="2395"/>
      <c r="O94" s="2395"/>
      <c r="P94" s="2395"/>
      <c r="Q94" s="822"/>
    </row>
    <row r="95" spans="1:17" s="13" customFormat="1" ht="12" customHeight="1" x14ac:dyDescent="0.2">
      <c r="A95" s="14"/>
      <c r="B95" s="14"/>
      <c r="C95" s="14"/>
      <c r="D95" s="14"/>
      <c r="E95" s="14"/>
      <c r="F95" s="14"/>
      <c r="G95" s="14"/>
      <c r="H95" s="14"/>
      <c r="I95" s="14"/>
      <c r="J95" s="14"/>
      <c r="K95" s="14"/>
      <c r="L95" s="14"/>
      <c r="M95" s="14"/>
      <c r="N95" s="14"/>
      <c r="O95" s="14"/>
      <c r="P95" s="14"/>
      <c r="Q95" s="14"/>
    </row>
    <row r="96" spans="1:17" s="13" customFormat="1" ht="30" customHeight="1" x14ac:dyDescent="0.2">
      <c r="A96" s="14"/>
      <c r="B96" s="2395" t="s">
        <v>1997</v>
      </c>
      <c r="C96" s="2395"/>
      <c r="D96" s="2395"/>
      <c r="E96" s="2395"/>
      <c r="F96" s="2395"/>
      <c r="G96" s="2395"/>
      <c r="H96" s="2395"/>
      <c r="I96" s="2395"/>
      <c r="J96" s="2395"/>
      <c r="K96" s="2395"/>
      <c r="L96" s="2395"/>
      <c r="M96" s="2395"/>
      <c r="N96" s="2395"/>
      <c r="O96" s="2395"/>
      <c r="P96" s="2395"/>
      <c r="Q96" s="14"/>
    </row>
    <row r="97" spans="1:17" s="13" customFormat="1" ht="12" customHeight="1" x14ac:dyDescent="0.2">
      <c r="A97" s="14"/>
      <c r="B97" s="14"/>
      <c r="C97" s="14"/>
      <c r="D97" s="14"/>
      <c r="E97" s="14"/>
      <c r="F97" s="14"/>
      <c r="G97" s="14"/>
      <c r="H97" s="14"/>
      <c r="I97" s="14"/>
      <c r="J97" s="14"/>
      <c r="K97" s="14"/>
      <c r="L97" s="14"/>
      <c r="M97" s="14"/>
      <c r="N97" s="14"/>
      <c r="O97" s="14"/>
      <c r="P97" s="14"/>
      <c r="Q97" s="14"/>
    </row>
    <row r="98" spans="1:17" s="13" customFormat="1" ht="25.5" customHeight="1" x14ac:dyDescent="0.2">
      <c r="A98" s="14"/>
      <c r="B98" s="2395" t="s">
        <v>2222</v>
      </c>
      <c r="C98" s="2395"/>
      <c r="D98" s="2395"/>
      <c r="E98" s="2395"/>
      <c r="F98" s="2395"/>
      <c r="G98" s="2395"/>
      <c r="H98" s="2395"/>
      <c r="I98" s="2395"/>
      <c r="J98" s="2395"/>
      <c r="K98" s="2395"/>
      <c r="L98" s="2395"/>
      <c r="M98" s="2395"/>
      <c r="N98" s="2395"/>
      <c r="O98" s="2395"/>
      <c r="P98" s="2395"/>
      <c r="Q98" s="14"/>
    </row>
    <row r="99" spans="1:17" s="13" customFormat="1" ht="12" customHeight="1" x14ac:dyDescent="0.2">
      <c r="A99" s="14"/>
      <c r="B99" s="14"/>
      <c r="C99" s="14"/>
      <c r="D99" s="14"/>
      <c r="E99" s="14"/>
      <c r="F99" s="14"/>
      <c r="G99" s="14"/>
      <c r="H99" s="14"/>
      <c r="I99" s="14"/>
      <c r="J99" s="14"/>
      <c r="K99" s="14"/>
      <c r="L99" s="14"/>
      <c r="M99" s="14"/>
      <c r="N99" s="14"/>
      <c r="O99" s="14"/>
      <c r="P99" s="14"/>
      <c r="Q99" s="14"/>
    </row>
    <row r="100" spans="1:17" s="13" customFormat="1" ht="29.25" customHeight="1" x14ac:dyDescent="0.2">
      <c r="A100" s="14"/>
      <c r="B100" s="2395" t="s">
        <v>2009</v>
      </c>
      <c r="C100" s="2395"/>
      <c r="D100" s="2395"/>
      <c r="E100" s="2395"/>
      <c r="F100" s="2395"/>
      <c r="G100" s="2395"/>
      <c r="H100" s="2395"/>
      <c r="I100" s="2395"/>
      <c r="J100" s="2395"/>
      <c r="K100" s="2395"/>
      <c r="L100" s="2395"/>
      <c r="M100" s="2395"/>
      <c r="N100" s="2395"/>
      <c r="O100" s="2395"/>
      <c r="P100" s="2395"/>
      <c r="Q100" s="14"/>
    </row>
    <row r="101" spans="1:17" s="13" customFormat="1" ht="12" customHeight="1" x14ac:dyDescent="0.2">
      <c r="A101" s="14"/>
      <c r="B101" s="14"/>
      <c r="C101" s="14"/>
      <c r="D101" s="14"/>
      <c r="E101" s="14"/>
      <c r="F101" s="14"/>
      <c r="G101" s="14"/>
      <c r="H101" s="14"/>
      <c r="I101" s="14"/>
      <c r="J101" s="14"/>
      <c r="K101" s="14"/>
      <c r="L101" s="14"/>
      <c r="M101" s="14"/>
      <c r="N101" s="14"/>
      <c r="O101" s="14"/>
      <c r="P101" s="14"/>
      <c r="Q101" s="14"/>
    </row>
    <row r="102" spans="1:17" s="13" customFormat="1" ht="27" customHeight="1" x14ac:dyDescent="0.2">
      <c r="A102" s="14"/>
      <c r="B102" s="2395" t="s">
        <v>1999</v>
      </c>
      <c r="C102" s="2395"/>
      <c r="D102" s="2395"/>
      <c r="E102" s="2395"/>
      <c r="F102" s="2395"/>
      <c r="G102" s="2395"/>
      <c r="H102" s="2395"/>
      <c r="I102" s="2395"/>
      <c r="J102" s="2395"/>
      <c r="K102" s="2395"/>
      <c r="L102" s="2395"/>
      <c r="M102" s="2395"/>
      <c r="N102" s="2395"/>
      <c r="O102" s="2395"/>
      <c r="P102" s="2395"/>
      <c r="Q102" s="14"/>
    </row>
    <row r="103" spans="1:17" s="13" customFormat="1" ht="12" customHeight="1" x14ac:dyDescent="0.2">
      <c r="A103" s="14"/>
      <c r="B103" s="14"/>
      <c r="C103" s="14"/>
      <c r="D103" s="14"/>
      <c r="E103" s="14"/>
      <c r="F103" s="14"/>
      <c r="G103" s="14"/>
      <c r="H103" s="14"/>
      <c r="I103" s="14"/>
      <c r="J103" s="14"/>
      <c r="K103" s="14"/>
      <c r="L103" s="14"/>
      <c r="M103" s="14"/>
      <c r="N103" s="14"/>
      <c r="O103" s="14"/>
      <c r="P103" s="14"/>
      <c r="Q103" s="14"/>
    </row>
    <row r="104" spans="1:17" s="823" customFormat="1" ht="30" customHeight="1" x14ac:dyDescent="0.25">
      <c r="A104" s="822"/>
      <c r="B104" s="2395" t="s">
        <v>1984</v>
      </c>
      <c r="C104" s="2395"/>
      <c r="D104" s="2395"/>
      <c r="E104" s="2395"/>
      <c r="F104" s="2395"/>
      <c r="G104" s="2395"/>
      <c r="H104" s="2395"/>
      <c r="I104" s="2395"/>
      <c r="J104" s="2395"/>
      <c r="K104" s="2395"/>
      <c r="L104" s="2395"/>
      <c r="M104" s="2395"/>
      <c r="N104" s="2395"/>
      <c r="O104" s="2395"/>
      <c r="P104" s="2395"/>
      <c r="Q104" s="822"/>
    </row>
    <row r="105" spans="1:17" s="13" customFormat="1" ht="12" customHeight="1" x14ac:dyDescent="0.2">
      <c r="A105" s="14"/>
      <c r="B105" s="14"/>
      <c r="C105" s="14"/>
      <c r="D105" s="14"/>
      <c r="E105" s="14"/>
      <c r="F105" s="14"/>
      <c r="G105" s="14"/>
      <c r="H105" s="14"/>
      <c r="I105" s="14"/>
      <c r="J105" s="14"/>
      <c r="K105" s="14"/>
      <c r="L105" s="14"/>
      <c r="M105" s="14"/>
      <c r="N105" s="14"/>
      <c r="O105" s="14"/>
      <c r="P105" s="14"/>
      <c r="Q105" s="14"/>
    </row>
    <row r="106" spans="1:17" s="823" customFormat="1" ht="30" customHeight="1" x14ac:dyDescent="0.25">
      <c r="A106" s="822"/>
      <c r="B106" s="2395" t="s">
        <v>1985</v>
      </c>
      <c r="C106" s="2395"/>
      <c r="D106" s="2395"/>
      <c r="E106" s="2395"/>
      <c r="F106" s="2395"/>
      <c r="G106" s="2395"/>
      <c r="H106" s="2395"/>
      <c r="I106" s="2395"/>
      <c r="J106" s="2395"/>
      <c r="K106" s="2395"/>
      <c r="L106" s="2395"/>
      <c r="M106" s="2395"/>
      <c r="N106" s="2395"/>
      <c r="O106" s="2395"/>
      <c r="P106" s="2395"/>
      <c r="Q106" s="822"/>
    </row>
    <row r="107" spans="1:17" s="13" customFormat="1" ht="12" customHeight="1" x14ac:dyDescent="0.2">
      <c r="A107" s="14"/>
      <c r="B107" s="14"/>
      <c r="C107" s="14"/>
      <c r="D107" s="14"/>
      <c r="E107" s="14"/>
      <c r="F107" s="14"/>
      <c r="G107" s="14"/>
      <c r="H107" s="14"/>
      <c r="I107" s="14"/>
      <c r="J107" s="14"/>
      <c r="K107" s="14"/>
      <c r="L107" s="14"/>
      <c r="M107" s="14"/>
      <c r="N107" s="14"/>
      <c r="O107" s="14"/>
      <c r="P107" s="14"/>
      <c r="Q107" s="14"/>
    </row>
    <row r="108" spans="1:17" s="823" customFormat="1" ht="30" customHeight="1" x14ac:dyDescent="0.25">
      <c r="A108" s="822"/>
      <c r="B108" s="2395" t="s">
        <v>1986</v>
      </c>
      <c r="C108" s="2395"/>
      <c r="D108" s="2395"/>
      <c r="E108" s="2395"/>
      <c r="F108" s="2395"/>
      <c r="G108" s="2395"/>
      <c r="H108" s="2395"/>
      <c r="I108" s="2395"/>
      <c r="J108" s="2395"/>
      <c r="K108" s="2395"/>
      <c r="L108" s="2395"/>
      <c r="M108" s="2395"/>
      <c r="N108" s="2395"/>
      <c r="O108" s="2395"/>
      <c r="P108" s="2395"/>
      <c r="Q108" s="822"/>
    </row>
    <row r="109" spans="1:17" s="13" customFormat="1" ht="12" customHeight="1" x14ac:dyDescent="0.2">
      <c r="A109" s="14"/>
      <c r="B109" s="14"/>
      <c r="C109" s="14"/>
      <c r="D109" s="14"/>
      <c r="E109" s="14"/>
      <c r="F109" s="14"/>
      <c r="G109" s="14"/>
      <c r="H109" s="14"/>
      <c r="I109" s="14"/>
      <c r="J109" s="14"/>
      <c r="K109" s="14"/>
      <c r="L109" s="14"/>
      <c r="M109" s="14"/>
      <c r="N109" s="14"/>
      <c r="O109" s="14"/>
      <c r="P109" s="14"/>
      <c r="Q109" s="14"/>
    </row>
    <row r="110" spans="1:17" s="13" customFormat="1" ht="12" customHeight="1" x14ac:dyDescent="0.2">
      <c r="A110" s="14"/>
      <c r="B110" s="2395" t="s">
        <v>1998</v>
      </c>
      <c r="C110" s="2395"/>
      <c r="D110" s="2395"/>
      <c r="E110" s="2395"/>
      <c r="F110" s="2395"/>
      <c r="G110" s="2395"/>
      <c r="H110" s="2395"/>
      <c r="I110" s="2395"/>
      <c r="J110" s="2395"/>
      <c r="K110" s="2395"/>
      <c r="L110" s="2395"/>
      <c r="M110" s="2395"/>
      <c r="N110" s="2395"/>
      <c r="O110" s="2395"/>
      <c r="P110" s="2395"/>
      <c r="Q110" s="14"/>
    </row>
    <row r="111" spans="1:17" s="13" customFormat="1" ht="12" customHeight="1" x14ac:dyDescent="0.2">
      <c r="A111" s="14"/>
      <c r="B111" s="14"/>
      <c r="C111" s="14"/>
      <c r="D111" s="14"/>
      <c r="E111" s="14"/>
      <c r="F111" s="14"/>
      <c r="G111" s="14"/>
      <c r="H111" s="14"/>
      <c r="I111" s="14"/>
      <c r="J111" s="14"/>
      <c r="K111" s="14"/>
      <c r="L111" s="14"/>
      <c r="M111" s="14"/>
      <c r="N111" s="14"/>
      <c r="O111" s="14"/>
      <c r="P111" s="14"/>
      <c r="Q111" s="14"/>
    </row>
    <row r="112" spans="1:17" s="823" customFormat="1" ht="51" customHeight="1" x14ac:dyDescent="0.25">
      <c r="A112" s="822"/>
      <c r="B112" s="2395" t="s">
        <v>1987</v>
      </c>
      <c r="C112" s="2395"/>
      <c r="D112" s="2395"/>
      <c r="E112" s="2395"/>
      <c r="F112" s="2395"/>
      <c r="G112" s="2395"/>
      <c r="H112" s="2395"/>
      <c r="I112" s="2395"/>
      <c r="J112" s="2395"/>
      <c r="K112" s="2395"/>
      <c r="L112" s="2395"/>
      <c r="M112" s="2395"/>
      <c r="N112" s="2395"/>
      <c r="O112" s="2395"/>
      <c r="P112" s="2395"/>
      <c r="Q112" s="822"/>
    </row>
    <row r="113" spans="1:17" s="13" customFormat="1" ht="12" customHeight="1" x14ac:dyDescent="0.2">
      <c r="A113" s="14"/>
      <c r="B113" s="14"/>
      <c r="C113" s="14"/>
      <c r="D113" s="14"/>
      <c r="E113" s="14"/>
      <c r="F113" s="14"/>
      <c r="G113" s="14"/>
      <c r="H113" s="14"/>
      <c r="I113" s="14"/>
      <c r="J113" s="14"/>
      <c r="K113" s="14"/>
      <c r="L113" s="14"/>
      <c r="M113" s="14"/>
      <c r="N113" s="14"/>
      <c r="O113" s="14"/>
      <c r="P113" s="14"/>
      <c r="Q113" s="14"/>
    </row>
    <row r="114" spans="1:17" s="13" customFormat="1" ht="39.75" customHeight="1" x14ac:dyDescent="0.2">
      <c r="A114" s="14"/>
      <c r="B114" s="2395" t="s">
        <v>1876</v>
      </c>
      <c r="C114" s="2395"/>
      <c r="D114" s="2395"/>
      <c r="E114" s="2395"/>
      <c r="F114" s="2395"/>
      <c r="G114" s="2395"/>
      <c r="H114" s="2395"/>
      <c r="I114" s="2395"/>
      <c r="J114" s="2395"/>
      <c r="K114" s="2395"/>
      <c r="L114" s="2395"/>
      <c r="M114" s="2395"/>
      <c r="N114" s="2395"/>
      <c r="O114" s="2395"/>
      <c r="P114" s="2395"/>
      <c r="Q114" s="14"/>
    </row>
    <row r="115" spans="1:17" s="13" customFormat="1" ht="12" customHeight="1" x14ac:dyDescent="0.2">
      <c r="A115" s="14"/>
      <c r="B115" s="14"/>
      <c r="C115" s="14"/>
      <c r="D115" s="14"/>
      <c r="E115" s="14"/>
      <c r="F115" s="14"/>
      <c r="G115" s="14"/>
      <c r="H115" s="14"/>
      <c r="I115" s="14"/>
      <c r="J115" s="14"/>
      <c r="K115" s="14"/>
      <c r="L115" s="14"/>
      <c r="M115" s="14"/>
      <c r="N115" s="14"/>
      <c r="O115" s="14"/>
      <c r="P115" s="14"/>
      <c r="Q115" s="14"/>
    </row>
    <row r="116" spans="1:17" s="823" customFormat="1" ht="41.25" customHeight="1" x14ac:dyDescent="0.25">
      <c r="A116" s="822"/>
      <c r="B116" s="2395" t="s">
        <v>1988</v>
      </c>
      <c r="C116" s="2395"/>
      <c r="D116" s="2395"/>
      <c r="E116" s="2395"/>
      <c r="F116" s="2395"/>
      <c r="G116" s="2395"/>
      <c r="H116" s="2395"/>
      <c r="I116" s="2395"/>
      <c r="J116" s="2395"/>
      <c r="K116" s="2395"/>
      <c r="L116" s="2395"/>
      <c r="M116" s="2395"/>
      <c r="N116" s="2395"/>
      <c r="O116" s="2395"/>
      <c r="P116" s="2395"/>
      <c r="Q116" s="822"/>
    </row>
    <row r="117" spans="1:17" s="13" customFormat="1" ht="12" customHeight="1" x14ac:dyDescent="0.2">
      <c r="A117" s="14"/>
      <c r="B117" s="14"/>
      <c r="C117" s="14"/>
      <c r="D117" s="14"/>
      <c r="E117" s="14"/>
      <c r="F117" s="14"/>
      <c r="G117" s="14"/>
      <c r="H117" s="14"/>
      <c r="I117" s="14"/>
      <c r="J117" s="14"/>
      <c r="K117" s="14"/>
      <c r="L117" s="14"/>
      <c r="M117" s="14"/>
      <c r="N117" s="14"/>
      <c r="O117" s="14"/>
      <c r="P117" s="14"/>
      <c r="Q117" s="14"/>
    </row>
    <row r="118" spans="1:17" s="13" customFormat="1" ht="15" customHeight="1" x14ac:dyDescent="0.2">
      <c r="A118" s="14"/>
      <c r="B118" s="2397" t="s">
        <v>1989</v>
      </c>
      <c r="C118" s="2397"/>
      <c r="D118" s="2397"/>
      <c r="E118" s="2397"/>
      <c r="F118" s="2397"/>
      <c r="G118" s="2397"/>
      <c r="H118" s="2397"/>
      <c r="I118" s="2397"/>
      <c r="J118" s="2397"/>
      <c r="K118" s="2397"/>
      <c r="L118" s="2397"/>
      <c r="M118" s="2397"/>
      <c r="N118" s="2397"/>
      <c r="O118" s="2397"/>
      <c r="P118" s="2397"/>
      <c r="Q118" s="14"/>
    </row>
    <row r="119" spans="1:17" s="13" customFormat="1" ht="12" customHeight="1" x14ac:dyDescent="0.2">
      <c r="A119" s="14"/>
      <c r="B119" s="14"/>
      <c r="C119" s="14"/>
      <c r="D119" s="14"/>
      <c r="E119" s="14"/>
      <c r="F119" s="14"/>
      <c r="G119" s="14"/>
      <c r="H119" s="14"/>
      <c r="I119" s="14"/>
      <c r="J119" s="14"/>
      <c r="K119" s="14"/>
      <c r="L119" s="14"/>
      <c r="M119" s="14"/>
      <c r="N119" s="14"/>
      <c r="O119" s="14"/>
      <c r="P119" s="14"/>
      <c r="Q119" s="14"/>
    </row>
    <row r="120" spans="1:17" s="823" customFormat="1" ht="30" customHeight="1" x14ac:dyDescent="0.25">
      <c r="A120" s="822"/>
      <c r="B120" s="2395" t="s">
        <v>1990</v>
      </c>
      <c r="C120" s="2395"/>
      <c r="D120" s="2395"/>
      <c r="E120" s="2395"/>
      <c r="F120" s="2395"/>
      <c r="G120" s="2395"/>
      <c r="H120" s="2395"/>
      <c r="I120" s="2395"/>
      <c r="J120" s="2395"/>
      <c r="K120" s="2395"/>
      <c r="L120" s="2395"/>
      <c r="M120" s="2395"/>
      <c r="N120" s="2395"/>
      <c r="O120" s="2395"/>
      <c r="P120" s="2395"/>
      <c r="Q120" s="822"/>
    </row>
    <row r="121" spans="1:17" s="13" customFormat="1" ht="12" customHeight="1" x14ac:dyDescent="0.2">
      <c r="A121" s="14"/>
      <c r="B121" s="14"/>
      <c r="C121" s="14"/>
      <c r="D121" s="14"/>
      <c r="E121" s="14"/>
      <c r="F121" s="14"/>
      <c r="G121" s="14"/>
      <c r="H121" s="14"/>
      <c r="I121" s="14"/>
      <c r="J121" s="14"/>
      <c r="K121" s="14"/>
      <c r="L121" s="14"/>
      <c r="M121" s="14"/>
      <c r="N121" s="14"/>
      <c r="O121" s="14"/>
      <c r="P121" s="14"/>
      <c r="Q121" s="14"/>
    </row>
    <row r="122" spans="1:17" s="13" customFormat="1" ht="15" customHeight="1" x14ac:dyDescent="0.2">
      <c r="A122" s="14"/>
      <c r="B122" s="2398" t="s">
        <v>1991</v>
      </c>
      <c r="C122" s="2398"/>
      <c r="D122" s="2398"/>
      <c r="E122" s="2398"/>
      <c r="F122" s="2398"/>
      <c r="G122" s="2398"/>
      <c r="H122" s="2398"/>
      <c r="I122" s="2398"/>
      <c r="J122" s="2398"/>
      <c r="K122" s="2398"/>
      <c r="L122" s="2398"/>
      <c r="M122" s="2398"/>
      <c r="N122" s="2398"/>
      <c r="O122" s="2398"/>
      <c r="P122" s="2398"/>
      <c r="Q122" s="14"/>
    </row>
    <row r="123" spans="1:17" s="13" customFormat="1" ht="12" customHeight="1" x14ac:dyDescent="0.2">
      <c r="A123" s="14"/>
      <c r="B123" s="14"/>
      <c r="C123" s="14"/>
      <c r="D123" s="14"/>
      <c r="E123" s="14"/>
      <c r="F123" s="14"/>
      <c r="G123" s="14"/>
      <c r="H123" s="14"/>
      <c r="I123" s="14"/>
      <c r="J123" s="14"/>
      <c r="K123" s="14"/>
      <c r="L123" s="14"/>
      <c r="M123" s="14"/>
      <c r="N123" s="14"/>
      <c r="O123" s="14"/>
      <c r="P123" s="14"/>
      <c r="Q123" s="14"/>
    </row>
    <row r="124" spans="1:17" s="1295" customFormat="1" ht="27" customHeight="1" x14ac:dyDescent="0.2">
      <c r="A124" s="14"/>
      <c r="B124" s="2396" t="s">
        <v>2460</v>
      </c>
      <c r="C124" s="2396"/>
      <c r="D124" s="2396"/>
      <c r="E124" s="2396"/>
      <c r="F124" s="2396"/>
      <c r="G124" s="2396"/>
      <c r="H124" s="2396"/>
      <c r="I124" s="2396"/>
      <c r="J124" s="2396"/>
      <c r="K124" s="2396"/>
      <c r="L124" s="2396"/>
      <c r="M124" s="2396"/>
      <c r="N124" s="2396"/>
      <c r="O124" s="2396"/>
      <c r="P124" s="2396"/>
      <c r="Q124" s="14"/>
    </row>
    <row r="125" spans="1:17" s="1295" customFormat="1" ht="12" customHeight="1" x14ac:dyDescent="0.2">
      <c r="A125" s="14"/>
      <c r="B125" s="14"/>
      <c r="C125" s="14"/>
      <c r="D125" s="14"/>
      <c r="E125" s="14"/>
      <c r="F125" s="14"/>
      <c r="G125" s="14"/>
      <c r="H125" s="14"/>
      <c r="I125" s="14"/>
      <c r="J125" s="14"/>
      <c r="K125" s="14"/>
      <c r="L125" s="14"/>
      <c r="M125" s="14"/>
      <c r="N125" s="14"/>
      <c r="O125" s="14"/>
      <c r="P125" s="14"/>
      <c r="Q125" s="14"/>
    </row>
    <row r="126" spans="1:17" s="13" customFormat="1" ht="27" customHeight="1" x14ac:dyDescent="0.2">
      <c r="A126" s="14"/>
      <c r="B126" s="2396" t="s">
        <v>1992</v>
      </c>
      <c r="C126" s="2396"/>
      <c r="D126" s="2396"/>
      <c r="E126" s="2396"/>
      <c r="F126" s="2396"/>
      <c r="G126" s="2396"/>
      <c r="H126" s="2396"/>
      <c r="I126" s="2396"/>
      <c r="J126" s="2396"/>
      <c r="K126" s="2396"/>
      <c r="L126" s="2396"/>
      <c r="M126" s="2396"/>
      <c r="N126" s="2396"/>
      <c r="O126" s="2396"/>
      <c r="P126" s="2396"/>
      <c r="Q126" s="14"/>
    </row>
    <row r="127" spans="1:17" s="13" customFormat="1" ht="12" customHeight="1" x14ac:dyDescent="0.2">
      <c r="A127" s="14"/>
      <c r="B127" s="14"/>
      <c r="C127" s="14"/>
      <c r="D127" s="14"/>
      <c r="E127" s="14"/>
      <c r="F127" s="14"/>
      <c r="G127" s="14"/>
      <c r="H127" s="14"/>
      <c r="I127" s="14"/>
      <c r="J127" s="14"/>
      <c r="K127" s="14"/>
      <c r="L127" s="14"/>
      <c r="M127" s="14"/>
      <c r="N127" s="14"/>
      <c r="O127" s="14"/>
      <c r="P127" s="14"/>
      <c r="Q127" s="14"/>
    </row>
    <row r="128" spans="1:17" s="13" customFormat="1" ht="22.5" customHeight="1" x14ac:dyDescent="0.2">
      <c r="A128" s="14"/>
      <c r="B128" s="2396" t="s">
        <v>1994</v>
      </c>
      <c r="C128" s="2396"/>
      <c r="D128" s="2396"/>
      <c r="E128" s="2396"/>
      <c r="F128" s="2396"/>
      <c r="G128" s="2396"/>
      <c r="H128" s="2396"/>
      <c r="I128" s="2396"/>
      <c r="J128" s="2396"/>
      <c r="K128" s="2396"/>
      <c r="L128" s="2396"/>
      <c r="M128" s="2396"/>
      <c r="N128" s="2396"/>
      <c r="O128" s="2396"/>
      <c r="P128" s="2396"/>
      <c r="Q128" s="14"/>
    </row>
    <row r="129" spans="1:17" s="13" customFormat="1" ht="12" customHeight="1" x14ac:dyDescent="0.2">
      <c r="A129" s="14"/>
      <c r="B129" s="14"/>
      <c r="C129" s="14"/>
      <c r="D129" s="14"/>
      <c r="E129" s="14"/>
      <c r="F129" s="14"/>
      <c r="G129" s="14"/>
      <c r="H129" s="14"/>
      <c r="I129" s="14"/>
      <c r="J129" s="14"/>
      <c r="K129" s="14"/>
      <c r="L129" s="14"/>
      <c r="M129" s="14"/>
      <c r="N129" s="14"/>
      <c r="O129" s="14"/>
      <c r="P129" s="14"/>
      <c r="Q129" s="14"/>
    </row>
    <row r="130" spans="1:17" s="823" customFormat="1" ht="30" customHeight="1" x14ac:dyDescent="0.25">
      <c r="A130" s="822"/>
      <c r="B130" s="2395" t="s">
        <v>1993</v>
      </c>
      <c r="C130" s="2395"/>
      <c r="D130" s="2395"/>
      <c r="E130" s="2395"/>
      <c r="F130" s="2395"/>
      <c r="G130" s="2395"/>
      <c r="H130" s="2395"/>
      <c r="I130" s="2395"/>
      <c r="J130" s="2395"/>
      <c r="K130" s="2395"/>
      <c r="L130" s="2395"/>
      <c r="M130" s="2395"/>
      <c r="N130" s="2395"/>
      <c r="O130" s="2395"/>
      <c r="P130" s="2395"/>
      <c r="Q130" s="822"/>
    </row>
    <row r="131" spans="1:17" s="13" customFormat="1" ht="12" customHeight="1" x14ac:dyDescent="0.2">
      <c r="A131" s="14"/>
      <c r="B131" s="14"/>
      <c r="C131" s="14"/>
      <c r="D131" s="14"/>
      <c r="E131" s="14"/>
      <c r="F131" s="14"/>
      <c r="G131" s="14"/>
      <c r="H131" s="14"/>
      <c r="I131" s="14"/>
      <c r="J131" s="14"/>
      <c r="K131" s="14"/>
      <c r="L131" s="14"/>
      <c r="M131" s="14"/>
      <c r="N131" s="14"/>
      <c r="O131" s="14"/>
      <c r="P131" s="14"/>
      <c r="Q131" s="14"/>
    </row>
    <row r="132" spans="1:17" s="13" customFormat="1" ht="15" customHeight="1" x14ac:dyDescent="0.2">
      <c r="A132" s="14"/>
      <c r="B132" s="14" t="s">
        <v>1995</v>
      </c>
      <c r="C132" s="14"/>
      <c r="D132" s="14"/>
      <c r="E132" s="14"/>
      <c r="F132" s="14"/>
      <c r="G132" s="14"/>
      <c r="H132" s="14"/>
      <c r="I132" s="14"/>
      <c r="J132" s="14"/>
      <c r="K132" s="14"/>
      <c r="L132" s="14"/>
      <c r="M132" s="14"/>
      <c r="N132" s="14"/>
      <c r="O132" s="14"/>
      <c r="P132" s="14"/>
      <c r="Q132" s="14"/>
    </row>
    <row r="133" spans="1:17" s="13" customFormat="1" ht="12" customHeight="1" x14ac:dyDescent="0.2">
      <c r="A133" s="14"/>
      <c r="B133" s="14"/>
      <c r="C133" s="14"/>
      <c r="D133" s="14"/>
      <c r="E133" s="14"/>
      <c r="F133" s="14"/>
      <c r="G133" s="14"/>
      <c r="H133" s="14"/>
      <c r="I133" s="14"/>
      <c r="J133" s="14"/>
      <c r="K133" s="14"/>
      <c r="L133" s="14"/>
      <c r="M133" s="14"/>
      <c r="N133" s="14"/>
      <c r="O133" s="14"/>
      <c r="P133" s="14"/>
      <c r="Q133" s="14"/>
    </row>
    <row r="134" spans="1:17" s="13" customFormat="1" ht="15" customHeight="1" x14ac:dyDescent="0.2">
      <c r="A134" s="14"/>
      <c r="B134" s="14" t="s">
        <v>1996</v>
      </c>
      <c r="C134" s="14"/>
      <c r="D134" s="14"/>
      <c r="E134" s="14"/>
      <c r="F134" s="14"/>
      <c r="G134" s="14"/>
      <c r="H134" s="14"/>
      <c r="I134" s="14"/>
      <c r="J134" s="14"/>
      <c r="K134" s="14"/>
      <c r="L134" s="14"/>
      <c r="M134" s="14"/>
      <c r="N134" s="14"/>
      <c r="O134" s="14"/>
      <c r="P134" s="14"/>
      <c r="Q134" s="14"/>
    </row>
    <row r="135" spans="1:17" s="13" customFormat="1" ht="15" customHeight="1" x14ac:dyDescent="0.2">
      <c r="A135" s="347"/>
      <c r="B135" s="347"/>
      <c r="C135" s="347"/>
      <c r="D135" s="347"/>
      <c r="E135" s="347"/>
      <c r="F135" s="347"/>
      <c r="G135" s="347"/>
      <c r="H135" s="347"/>
      <c r="I135" s="347"/>
      <c r="J135" s="347"/>
      <c r="K135" s="347"/>
      <c r="L135" s="347"/>
      <c r="M135" s="347"/>
      <c r="N135" s="347"/>
      <c r="O135" s="347"/>
      <c r="P135" s="347"/>
      <c r="Q135" s="347"/>
    </row>
    <row r="136" spans="1:17" ht="15" hidden="1" customHeight="1" x14ac:dyDescent="0.25"/>
    <row r="137" spans="1:17" ht="15" hidden="1" customHeight="1" x14ac:dyDescent="0.25"/>
    <row r="138" spans="1:17" ht="15" hidden="1" customHeight="1" x14ac:dyDescent="0.25"/>
    <row r="139" spans="1:17" ht="15" hidden="1" customHeight="1" x14ac:dyDescent="0.25"/>
    <row r="140" spans="1:17" ht="15" hidden="1" customHeight="1" x14ac:dyDescent="0.25"/>
    <row r="141" spans="1:17" ht="15" hidden="1" customHeight="1" x14ac:dyDescent="0.25"/>
    <row r="142" spans="1:17" ht="15" hidden="1" customHeight="1" x14ac:dyDescent="0.25"/>
    <row r="143" spans="1:17" ht="15" hidden="1" customHeight="1" x14ac:dyDescent="0.25"/>
    <row r="144" spans="1:17"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customHeight="1" x14ac:dyDescent="0.25"/>
    <row r="443" ht="15" customHeight="1" x14ac:dyDescent="0.25"/>
  </sheetData>
  <sheetProtection algorithmName="SHA-512" hashValue="EXIqd1ga6HKq5uyqDH9cHLP8yDH5F3AgM+psfv9th6aSshBENoIXxqtNq/IWaytItsxVtxtO3RuWZO7FKNSVuw==" saltValue="nMTdQM1IvpFEqxyZJdtMag==" spinCount="100000" sheet="1" objects="1" scenarios="1"/>
  <mergeCells count="56">
    <mergeCell ref="B124:P124"/>
    <mergeCell ref="A3:F3"/>
    <mergeCell ref="B9:P9"/>
    <mergeCell ref="B5:P5"/>
    <mergeCell ref="B13:P13"/>
    <mergeCell ref="B19:P19"/>
    <mergeCell ref="B15:P15"/>
    <mergeCell ref="B102:P102"/>
    <mergeCell ref="B92:P92"/>
    <mergeCell ref="B88:P88"/>
    <mergeCell ref="B90:P90"/>
    <mergeCell ref="B94:P94"/>
    <mergeCell ref="B96:P96"/>
    <mergeCell ref="B98:P98"/>
    <mergeCell ref="A82:F82"/>
    <mergeCell ref="B23:P23"/>
    <mergeCell ref="A1:Q1"/>
    <mergeCell ref="J72:P74"/>
    <mergeCell ref="J75:P77"/>
    <mergeCell ref="A35:F35"/>
    <mergeCell ref="B45:P46"/>
    <mergeCell ref="J69:P71"/>
    <mergeCell ref="A54:F54"/>
    <mergeCell ref="J58:P61"/>
    <mergeCell ref="J62:P65"/>
    <mergeCell ref="J66:P68"/>
    <mergeCell ref="B33:P33"/>
    <mergeCell ref="B17:P17"/>
    <mergeCell ref="B21:P21"/>
    <mergeCell ref="B52:P52"/>
    <mergeCell ref="B7:P7"/>
    <mergeCell ref="B11:P11"/>
    <mergeCell ref="B25:P25"/>
    <mergeCell ref="B27:P27"/>
    <mergeCell ref="B29:P29"/>
    <mergeCell ref="B37:P37"/>
    <mergeCell ref="B43:P43"/>
    <mergeCell ref="B39:P39"/>
    <mergeCell ref="B41:P41"/>
    <mergeCell ref="B31:P31"/>
    <mergeCell ref="B84:P84"/>
    <mergeCell ref="B86:P86"/>
    <mergeCell ref="B100:P100"/>
    <mergeCell ref="B120:P120"/>
    <mergeCell ref="B130:P130"/>
    <mergeCell ref="B126:P126"/>
    <mergeCell ref="B128:P128"/>
    <mergeCell ref="B104:P104"/>
    <mergeCell ref="B106:P106"/>
    <mergeCell ref="B112:P112"/>
    <mergeCell ref="B116:P116"/>
    <mergeCell ref="B118:P118"/>
    <mergeCell ref="B114:P114"/>
    <mergeCell ref="B122:P122"/>
    <mergeCell ref="B110:P110"/>
    <mergeCell ref="B108:P108"/>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7">
    <tabColor rgb="FF76923C"/>
  </sheetPr>
  <dimension ref="A1:AN267"/>
  <sheetViews>
    <sheetView showRowColHeaders="0" workbookViewId="0">
      <pane ySplit="1" topLeftCell="A201" activePane="bottomLeft" state="frozen"/>
      <selection pane="bottomLeft" activeCell="A252" sqref="A252:R265"/>
    </sheetView>
  </sheetViews>
  <sheetFormatPr defaultColWidth="0" defaultRowHeight="15" zeroHeight="1" x14ac:dyDescent="0.25"/>
  <cols>
    <col min="1" max="1" width="4.140625" customWidth="1"/>
    <col min="2" max="2" width="12" customWidth="1"/>
    <col min="3" max="3" width="10.28515625" customWidth="1"/>
    <col min="4" max="4" width="9.85546875" customWidth="1"/>
    <col min="5" max="5" width="9.140625" customWidth="1"/>
    <col min="6" max="6" width="10.28515625" customWidth="1"/>
    <col min="7" max="7" width="9.140625" customWidth="1"/>
    <col min="8" max="8" width="8.140625" customWidth="1"/>
    <col min="9" max="10" width="11.42578125" customWidth="1"/>
    <col min="11" max="11" width="12.28515625" customWidth="1"/>
    <col min="12" max="18" width="9.140625" customWidth="1"/>
    <col min="19" max="16384" width="9.140625" hidden="1"/>
  </cols>
  <sheetData>
    <row r="1" spans="1:40" s="13" customFormat="1" ht="30" customHeight="1" x14ac:dyDescent="0.2">
      <c r="A1" s="1348" t="s">
        <v>296</v>
      </c>
      <c r="B1" s="1348"/>
      <c r="C1" s="1348"/>
      <c r="D1" s="1348"/>
      <c r="E1" s="1348"/>
      <c r="F1" s="1348"/>
      <c r="G1" s="1348"/>
      <c r="H1" s="1348"/>
      <c r="I1" s="1348"/>
      <c r="J1" s="1348"/>
      <c r="K1" s="1348"/>
      <c r="L1" s="1348"/>
      <c r="M1" s="1348"/>
      <c r="N1" s="1348"/>
      <c r="O1" s="1348"/>
      <c r="P1" s="1348"/>
      <c r="Q1" s="1348"/>
      <c r="R1" s="1348"/>
    </row>
    <row r="2" spans="1:40" s="13" customFormat="1" ht="18" customHeight="1" x14ac:dyDescent="0.2">
      <c r="A2" s="315"/>
      <c r="B2" s="315"/>
      <c r="C2" s="315"/>
      <c r="D2" s="1"/>
      <c r="E2" s="1"/>
      <c r="F2" s="1"/>
      <c r="G2" s="1"/>
      <c r="H2" s="1"/>
      <c r="I2" s="1"/>
      <c r="J2" s="1"/>
      <c r="K2" s="1"/>
      <c r="L2" s="1"/>
      <c r="M2" s="1"/>
      <c r="N2" s="1"/>
      <c r="O2" s="1"/>
      <c r="P2" s="1"/>
      <c r="Q2" s="1"/>
      <c r="R2" s="1"/>
    </row>
    <row r="3" spans="1:40" s="13" customFormat="1" ht="21" customHeight="1" x14ac:dyDescent="0.2">
      <c r="A3" s="2446" t="s">
        <v>18</v>
      </c>
      <c r="B3" s="2446"/>
      <c r="C3" s="2446"/>
      <c r="D3" s="2446"/>
      <c r="E3" s="2446"/>
      <c r="F3" s="2446"/>
      <c r="G3" s="1"/>
      <c r="H3" s="1"/>
      <c r="I3" s="1"/>
      <c r="J3" s="1"/>
      <c r="K3" s="1"/>
      <c r="L3" s="1"/>
      <c r="M3" s="1"/>
      <c r="N3" s="1"/>
      <c r="O3" s="1"/>
      <c r="P3" s="1"/>
      <c r="Q3" s="1"/>
      <c r="R3" s="1"/>
    </row>
    <row r="4" spans="1:40" s="13" customFormat="1" ht="14.25" x14ac:dyDescent="0.2">
      <c r="A4" s="315"/>
      <c r="B4" s="315"/>
      <c r="C4" s="315"/>
      <c r="D4" s="1"/>
      <c r="E4" s="1"/>
      <c r="F4" s="1"/>
      <c r="G4" s="1"/>
      <c r="H4" s="1"/>
      <c r="I4" s="1"/>
      <c r="J4" s="1"/>
      <c r="K4" s="1"/>
      <c r="L4" s="1"/>
      <c r="M4" s="1"/>
      <c r="N4" s="1"/>
      <c r="O4" s="1"/>
      <c r="P4" s="1"/>
      <c r="Q4" s="1"/>
      <c r="R4" s="1"/>
    </row>
    <row r="5" spans="1:40" s="13" customFormat="1" ht="14.25" x14ac:dyDescent="0.2">
      <c r="A5" s="897" t="s">
        <v>2459</v>
      </c>
      <c r="B5" s="315"/>
      <c r="C5" s="315"/>
      <c r="D5" s="1"/>
      <c r="E5" s="1"/>
      <c r="F5" s="1"/>
      <c r="G5" s="1"/>
      <c r="H5" s="1"/>
      <c r="I5" s="1"/>
      <c r="J5" s="1"/>
      <c r="K5" s="1"/>
      <c r="L5" s="1"/>
      <c r="M5" s="1"/>
      <c r="N5" s="1"/>
      <c r="O5" s="1"/>
      <c r="P5" s="1"/>
      <c r="Q5" s="1"/>
      <c r="R5" s="1"/>
    </row>
    <row r="6" spans="1:40" s="13" customFormat="1" ht="14.25" x14ac:dyDescent="0.2">
      <c r="A6" s="898"/>
      <c r="B6" s="315"/>
      <c r="C6" s="315"/>
      <c r="D6" s="1"/>
      <c r="E6" s="1"/>
      <c r="F6" s="1"/>
      <c r="G6" s="1"/>
      <c r="H6" s="1"/>
      <c r="I6" s="837"/>
      <c r="J6" s="834"/>
      <c r="K6" s="1"/>
      <c r="L6" s="1"/>
      <c r="M6" s="1"/>
      <c r="N6" s="1"/>
      <c r="O6" s="1"/>
      <c r="P6" s="1"/>
      <c r="Q6" s="1"/>
      <c r="R6" s="1"/>
    </row>
    <row r="7" spans="1:40" s="13" customFormat="1" ht="20.25" customHeight="1" x14ac:dyDescent="0.2">
      <c r="A7" s="897" t="s">
        <v>1495</v>
      </c>
      <c r="B7" s="315"/>
      <c r="C7" s="315"/>
      <c r="D7" s="1"/>
      <c r="E7" s="1"/>
      <c r="F7" s="1"/>
      <c r="G7" s="1"/>
      <c r="H7" s="1"/>
      <c r="I7" s="837"/>
      <c r="J7" s="69" t="s">
        <v>1496</v>
      </c>
      <c r="K7" s="1"/>
      <c r="L7" s="1"/>
      <c r="M7" s="1"/>
      <c r="N7" s="1"/>
      <c r="O7" s="1"/>
      <c r="P7" s="1"/>
      <c r="Q7" s="1299"/>
      <c r="R7" s="1"/>
    </row>
    <row r="8" spans="1:40" s="13" customFormat="1" ht="14.25" x14ac:dyDescent="0.2">
      <c r="A8" s="845"/>
      <c r="B8" s="315"/>
      <c r="C8" s="315"/>
      <c r="D8" s="1"/>
      <c r="E8" s="1"/>
      <c r="F8" s="1"/>
      <c r="G8" s="1"/>
      <c r="H8" s="1"/>
      <c r="I8" s="837"/>
      <c r="J8" s="834"/>
      <c r="K8" s="1"/>
      <c r="L8" s="1"/>
      <c r="M8" s="1"/>
      <c r="N8" s="1"/>
      <c r="O8" s="1"/>
      <c r="P8" s="1"/>
      <c r="Q8" s="1"/>
      <c r="R8" s="1"/>
    </row>
    <row r="9" spans="1:40" s="13" customFormat="1" ht="24.75" customHeight="1" x14ac:dyDescent="0.2">
      <c r="A9" s="2432" t="s">
        <v>1481</v>
      </c>
      <c r="B9" s="2432"/>
      <c r="C9" s="2432"/>
      <c r="D9" s="2432"/>
      <c r="E9" s="2432"/>
      <c r="F9" s="2432"/>
      <c r="G9" s="2432"/>
      <c r="H9" s="840"/>
      <c r="I9" s="836"/>
      <c r="J9" s="2432" t="s">
        <v>1483</v>
      </c>
      <c r="K9" s="2432"/>
      <c r="L9" s="2432"/>
      <c r="M9" s="2432"/>
      <c r="N9" s="2432"/>
      <c r="O9" s="2432"/>
      <c r="P9" s="2432"/>
      <c r="Q9" s="840"/>
      <c r="R9" s="1"/>
      <c r="S9" s="1"/>
      <c r="V9" s="1300" t="s">
        <v>2450</v>
      </c>
      <c r="AF9" s="69" t="s">
        <v>1496</v>
      </c>
    </row>
    <row r="10" spans="1:40" s="13" customFormat="1" ht="18" customHeight="1" x14ac:dyDescent="0.2">
      <c r="A10" s="315"/>
      <c r="B10" s="463" t="s">
        <v>808</v>
      </c>
      <c r="C10" s="805" t="s">
        <v>809</v>
      </c>
      <c r="D10" s="805" t="s">
        <v>810</v>
      </c>
      <c r="E10" s="805" t="s">
        <v>2447</v>
      </c>
      <c r="F10" s="1288" t="s">
        <v>811</v>
      </c>
      <c r="G10" s="1289" t="s">
        <v>812</v>
      </c>
      <c r="H10" s="834"/>
      <c r="I10" s="837"/>
      <c r="J10" s="834"/>
      <c r="K10" s="463" t="s">
        <v>2454</v>
      </c>
      <c r="L10" s="805" t="s">
        <v>809</v>
      </c>
      <c r="M10" s="805" t="s">
        <v>810</v>
      </c>
      <c r="N10" s="1288" t="s">
        <v>2447</v>
      </c>
      <c r="O10" s="1288" t="s">
        <v>811</v>
      </c>
      <c r="P10" s="1289" t="s">
        <v>812</v>
      </c>
      <c r="Q10" s="834"/>
      <c r="R10" s="834"/>
      <c r="S10" s="834"/>
      <c r="T10" s="15"/>
      <c r="V10" s="463" t="s">
        <v>808</v>
      </c>
      <c r="W10" s="1288" t="s">
        <v>809</v>
      </c>
      <c r="X10" s="1288" t="s">
        <v>460</v>
      </c>
      <c r="Y10" s="1288" t="s">
        <v>2448</v>
      </c>
      <c r="Z10" s="1288" t="s">
        <v>465</v>
      </c>
      <c r="AA10" s="1289" t="s">
        <v>812</v>
      </c>
      <c r="AB10" s="1288" t="s">
        <v>820</v>
      </c>
      <c r="AC10" s="1288" t="s">
        <v>2449</v>
      </c>
      <c r="AD10" s="1288" t="s">
        <v>461</v>
      </c>
      <c r="AF10" s="463" t="s">
        <v>808</v>
      </c>
      <c r="AG10" s="1296" t="s">
        <v>809</v>
      </c>
      <c r="AH10" s="1296" t="s">
        <v>460</v>
      </c>
      <c r="AI10" s="1296" t="s">
        <v>2448</v>
      </c>
      <c r="AJ10" s="1296" t="s">
        <v>465</v>
      </c>
      <c r="AK10" s="1297" t="s">
        <v>812</v>
      </c>
      <c r="AL10" s="1296" t="s">
        <v>820</v>
      </c>
      <c r="AM10" s="1296" t="s">
        <v>2449</v>
      </c>
      <c r="AN10" s="1296" t="s">
        <v>461</v>
      </c>
    </row>
    <row r="11" spans="1:40" s="13" customFormat="1" ht="15" customHeight="1" x14ac:dyDescent="0.2">
      <c r="A11" s="315"/>
      <c r="B11" s="808">
        <v>0.1</v>
      </c>
      <c r="C11" s="808">
        <v>1.23</v>
      </c>
      <c r="D11" s="808">
        <v>1.1100000000000001</v>
      </c>
      <c r="E11" s="808">
        <v>1.0900000000000001</v>
      </c>
      <c r="F11" s="1291">
        <v>1.1399999999999999</v>
      </c>
      <c r="G11" s="1291">
        <v>1.2</v>
      </c>
      <c r="H11" s="834"/>
      <c r="I11" s="837"/>
      <c r="J11" s="834"/>
      <c r="K11" s="808">
        <v>0.1</v>
      </c>
      <c r="L11" s="808">
        <v>1.25</v>
      </c>
      <c r="M11" s="808">
        <v>1.06</v>
      </c>
      <c r="N11" s="808">
        <v>1.01</v>
      </c>
      <c r="O11" s="1291">
        <v>1.0900000000000001</v>
      </c>
      <c r="P11" s="1291">
        <v>1.0900000000000001</v>
      </c>
      <c r="Q11" s="834"/>
      <c r="R11" s="834"/>
      <c r="S11" s="834"/>
      <c r="T11" s="15"/>
      <c r="V11" s="1291">
        <v>0</v>
      </c>
      <c r="W11" s="1291">
        <v>1</v>
      </c>
      <c r="X11" s="1291">
        <v>1</v>
      </c>
      <c r="Y11" s="1291">
        <v>1</v>
      </c>
      <c r="Z11" s="1291">
        <v>1</v>
      </c>
      <c r="AA11" s="1291">
        <v>1</v>
      </c>
      <c r="AB11" s="1291">
        <v>1</v>
      </c>
      <c r="AC11" s="1291">
        <v>1</v>
      </c>
      <c r="AD11" s="1291">
        <v>1</v>
      </c>
      <c r="AF11" s="1291">
        <v>0</v>
      </c>
      <c r="AG11" s="1291">
        <v>1</v>
      </c>
      <c r="AH11" s="1291">
        <v>1</v>
      </c>
      <c r="AI11" s="1291">
        <v>1</v>
      </c>
      <c r="AJ11" s="1291">
        <v>1</v>
      </c>
      <c r="AK11" s="1291">
        <v>1</v>
      </c>
      <c r="AL11" s="1291">
        <v>1</v>
      </c>
      <c r="AM11" s="1291">
        <v>1</v>
      </c>
      <c r="AN11" s="1291">
        <v>1</v>
      </c>
    </row>
    <row r="12" spans="1:40" s="13" customFormat="1" ht="15" customHeight="1" x14ac:dyDescent="0.2">
      <c r="A12" s="315"/>
      <c r="B12" s="807">
        <v>0.2</v>
      </c>
      <c r="C12" s="807">
        <v>1.43</v>
      </c>
      <c r="D12" s="807">
        <v>1.23</v>
      </c>
      <c r="E12" s="807">
        <v>1.19</v>
      </c>
      <c r="F12" s="1290">
        <v>1.28</v>
      </c>
      <c r="G12" s="1290">
        <v>1.39</v>
      </c>
      <c r="H12" s="834"/>
      <c r="I12" s="837"/>
      <c r="J12" s="834"/>
      <c r="K12" s="807">
        <v>0.2</v>
      </c>
      <c r="L12" s="807">
        <v>1.52</v>
      </c>
      <c r="M12" s="807">
        <v>1.1200000000000001</v>
      </c>
      <c r="N12" s="807">
        <v>1.03</v>
      </c>
      <c r="O12" s="1290">
        <v>1.19</v>
      </c>
      <c r="P12" s="1290">
        <v>1.19</v>
      </c>
      <c r="Q12" s="834"/>
      <c r="R12" s="834"/>
      <c r="S12" s="834"/>
      <c r="T12" s="15"/>
      <c r="V12" s="1291">
        <v>0.1</v>
      </c>
      <c r="W12" s="1291">
        <v>1.23</v>
      </c>
      <c r="X12" s="1291">
        <v>1.1100000000000001</v>
      </c>
      <c r="Y12" s="1291">
        <v>1.0900000000000001</v>
      </c>
      <c r="Z12" s="1291">
        <v>1.1399999999999999</v>
      </c>
      <c r="AA12" s="1291">
        <v>1.2</v>
      </c>
      <c r="AB12" s="1291">
        <v>1.1399999999999999</v>
      </c>
      <c r="AC12" s="1291">
        <v>1.0900000000000001</v>
      </c>
      <c r="AD12" s="1291">
        <v>1.1100000000000001</v>
      </c>
      <c r="AF12" s="1291">
        <v>0.1</v>
      </c>
      <c r="AG12" s="1291">
        <v>1.25</v>
      </c>
      <c r="AH12" s="1291">
        <v>1.06</v>
      </c>
      <c r="AI12" s="1291">
        <v>1.01</v>
      </c>
      <c r="AJ12" s="1291">
        <v>1.0900000000000001</v>
      </c>
      <c r="AK12" s="1291">
        <v>1.0900000000000001</v>
      </c>
      <c r="AL12" s="1291">
        <v>1.0900000000000001</v>
      </c>
      <c r="AM12" s="1291">
        <v>1.01</v>
      </c>
      <c r="AN12" s="1291">
        <v>1.06</v>
      </c>
    </row>
    <row r="13" spans="1:40" s="13" customFormat="1" ht="15" customHeight="1" x14ac:dyDescent="0.2">
      <c r="A13" s="315"/>
      <c r="B13" s="807">
        <v>0.3</v>
      </c>
      <c r="C13" s="807">
        <v>1.56</v>
      </c>
      <c r="D13" s="807">
        <v>1.35</v>
      </c>
      <c r="E13" s="807">
        <v>1.3</v>
      </c>
      <c r="F13" s="1290">
        <v>1.45</v>
      </c>
      <c r="G13" s="1290">
        <v>1.39</v>
      </c>
      <c r="H13" s="834"/>
      <c r="I13" s="837"/>
      <c r="J13" s="834"/>
      <c r="K13" s="807">
        <v>0.3</v>
      </c>
      <c r="L13" s="807">
        <v>1.75</v>
      </c>
      <c r="M13" s="807">
        <v>1.19</v>
      </c>
      <c r="N13" s="807">
        <v>1.05</v>
      </c>
      <c r="O13" s="1290">
        <v>1.32</v>
      </c>
      <c r="P13" s="1290">
        <v>1.32</v>
      </c>
      <c r="Q13" s="834"/>
      <c r="R13" s="834"/>
      <c r="S13" s="834"/>
      <c r="T13" s="15"/>
      <c r="V13" s="1290">
        <v>0.2</v>
      </c>
      <c r="W13" s="1290">
        <v>1.43</v>
      </c>
      <c r="X13" s="1290">
        <v>1.23</v>
      </c>
      <c r="Y13" s="1290">
        <v>1.19</v>
      </c>
      <c r="Z13" s="1290">
        <v>1.28</v>
      </c>
      <c r="AA13" s="1290">
        <v>1.39</v>
      </c>
      <c r="AB13" s="1290">
        <v>1.28</v>
      </c>
      <c r="AC13" s="1290">
        <v>1.19</v>
      </c>
      <c r="AD13" s="1290">
        <v>1.23</v>
      </c>
      <c r="AF13" s="1290">
        <v>0.2</v>
      </c>
      <c r="AG13" s="1290">
        <v>1.52</v>
      </c>
      <c r="AH13" s="1290">
        <v>1.1200000000000001</v>
      </c>
      <c r="AI13" s="1290">
        <v>1.03</v>
      </c>
      <c r="AJ13" s="1290">
        <v>1.19</v>
      </c>
      <c r="AK13" s="1290">
        <v>1.19</v>
      </c>
      <c r="AL13" s="1290">
        <v>1.19</v>
      </c>
      <c r="AM13" s="1290">
        <v>1.03</v>
      </c>
      <c r="AN13" s="1290">
        <v>1.1200000000000001</v>
      </c>
    </row>
    <row r="14" spans="1:40" s="13" customFormat="1" ht="15" customHeight="1" x14ac:dyDescent="0.2">
      <c r="A14" s="315"/>
      <c r="B14" s="807">
        <v>0.4</v>
      </c>
      <c r="C14" s="807">
        <v>1.64</v>
      </c>
      <c r="D14" s="807">
        <v>1.47</v>
      </c>
      <c r="E14" s="807">
        <v>1.41</v>
      </c>
      <c r="F14" s="1290">
        <v>1.59</v>
      </c>
      <c r="G14" s="1290">
        <v>1.39</v>
      </c>
      <c r="H14" s="834"/>
      <c r="I14" s="837"/>
      <c r="J14" s="834"/>
      <c r="K14" s="807">
        <v>0.4</v>
      </c>
      <c r="L14" s="807">
        <v>1.82</v>
      </c>
      <c r="M14" s="807">
        <v>1.28</v>
      </c>
      <c r="N14" s="807">
        <v>1.06</v>
      </c>
      <c r="O14" s="1290">
        <v>1.45</v>
      </c>
      <c r="P14" s="1290">
        <v>1.45</v>
      </c>
      <c r="Q14" s="834"/>
      <c r="R14" s="834"/>
      <c r="S14" s="834"/>
      <c r="T14" s="15"/>
      <c r="V14" s="1290">
        <v>0.3</v>
      </c>
      <c r="W14" s="1290">
        <v>1.56</v>
      </c>
      <c r="X14" s="1290">
        <v>1.35</v>
      </c>
      <c r="Y14" s="1290">
        <v>1.3</v>
      </c>
      <c r="Z14" s="1290">
        <v>1.45</v>
      </c>
      <c r="AA14" s="1290">
        <v>1.39</v>
      </c>
      <c r="AB14" s="1290">
        <v>1.45</v>
      </c>
      <c r="AC14" s="1290">
        <v>1.3</v>
      </c>
      <c r="AD14" s="1290">
        <v>1.35</v>
      </c>
      <c r="AF14" s="1290">
        <v>0.3</v>
      </c>
      <c r="AG14" s="1290">
        <v>1.75</v>
      </c>
      <c r="AH14" s="1290">
        <v>1.19</v>
      </c>
      <c r="AI14" s="1290">
        <v>1.05</v>
      </c>
      <c r="AJ14" s="1290">
        <v>1.32</v>
      </c>
      <c r="AK14" s="1290">
        <v>1.32</v>
      </c>
      <c r="AL14" s="1290">
        <v>1.32</v>
      </c>
      <c r="AM14" s="1290">
        <v>1.05</v>
      </c>
      <c r="AN14" s="1290">
        <v>1.19</v>
      </c>
    </row>
    <row r="15" spans="1:40" s="13" customFormat="1" ht="15" customHeight="1" x14ac:dyDescent="0.2">
      <c r="A15" s="315"/>
      <c r="B15" s="807">
        <v>0.5</v>
      </c>
      <c r="C15" s="807">
        <v>1.69</v>
      </c>
      <c r="D15" s="807">
        <v>1.59</v>
      </c>
      <c r="E15" s="807">
        <v>1.54</v>
      </c>
      <c r="F15" s="1290">
        <v>1.75</v>
      </c>
      <c r="G15" s="1290">
        <v>1.39</v>
      </c>
      <c r="H15" s="834"/>
      <c r="I15" s="837"/>
      <c r="J15" s="834"/>
      <c r="K15" s="807">
        <v>0.5</v>
      </c>
      <c r="L15" s="807">
        <v>1.85</v>
      </c>
      <c r="M15" s="807">
        <v>1.37</v>
      </c>
      <c r="N15" s="807">
        <v>1.0900000000000001</v>
      </c>
      <c r="O15" s="1290">
        <v>1.64</v>
      </c>
      <c r="P15" s="1290">
        <v>1.64</v>
      </c>
      <c r="Q15" s="834"/>
      <c r="R15" s="834"/>
      <c r="S15" s="834"/>
      <c r="T15" s="15"/>
      <c r="V15" s="1290">
        <v>0.4</v>
      </c>
      <c r="W15" s="1290">
        <v>1.64</v>
      </c>
      <c r="X15" s="1290">
        <v>1.47</v>
      </c>
      <c r="Y15" s="1290">
        <v>1.41</v>
      </c>
      <c r="Z15" s="1290">
        <v>1.59</v>
      </c>
      <c r="AA15" s="1290">
        <v>1.39</v>
      </c>
      <c r="AB15" s="1290">
        <v>1.59</v>
      </c>
      <c r="AC15" s="1290">
        <v>1.41</v>
      </c>
      <c r="AD15" s="1290">
        <v>1.47</v>
      </c>
      <c r="AF15" s="1290">
        <v>0.4</v>
      </c>
      <c r="AG15" s="1290">
        <v>1.82</v>
      </c>
      <c r="AH15" s="1290">
        <v>1.28</v>
      </c>
      <c r="AI15" s="1290">
        <v>1.06</v>
      </c>
      <c r="AJ15" s="1290">
        <v>1.45</v>
      </c>
      <c r="AK15" s="1290">
        <v>1.45</v>
      </c>
      <c r="AL15" s="1290">
        <v>1.45</v>
      </c>
      <c r="AM15" s="1290">
        <v>1.06</v>
      </c>
      <c r="AN15" s="1290">
        <v>1.28</v>
      </c>
    </row>
    <row r="16" spans="1:40" s="13" customFormat="1" ht="15" customHeight="1" x14ac:dyDescent="0.2">
      <c r="A16" s="315"/>
      <c r="B16" s="807">
        <v>0.6</v>
      </c>
      <c r="C16" s="807">
        <v>1.75</v>
      </c>
      <c r="D16" s="807">
        <v>1.69</v>
      </c>
      <c r="E16" s="807">
        <v>1.64</v>
      </c>
      <c r="F16" s="1290">
        <v>1.89</v>
      </c>
      <c r="G16" s="1290">
        <v>1.39</v>
      </c>
      <c r="H16" s="834"/>
      <c r="I16" s="837"/>
      <c r="J16" s="834"/>
      <c r="K16" s="807">
        <v>0.6</v>
      </c>
      <c r="L16" s="807">
        <v>1.85</v>
      </c>
      <c r="M16" s="807">
        <v>1.47</v>
      </c>
      <c r="N16" s="807">
        <v>1.1000000000000001</v>
      </c>
      <c r="O16" s="1290">
        <v>1.83</v>
      </c>
      <c r="P16" s="1290">
        <v>1.82</v>
      </c>
      <c r="Q16" s="834"/>
      <c r="R16" s="834"/>
      <c r="S16" s="834"/>
      <c r="T16" s="15"/>
      <c r="V16" s="1290">
        <v>0.5</v>
      </c>
      <c r="W16" s="1290">
        <v>1.69</v>
      </c>
      <c r="X16" s="1290">
        <v>1.59</v>
      </c>
      <c r="Y16" s="1290">
        <v>1.54</v>
      </c>
      <c r="Z16" s="1290">
        <v>1.75</v>
      </c>
      <c r="AA16" s="1290">
        <v>1.39</v>
      </c>
      <c r="AB16" s="1290">
        <v>1.75</v>
      </c>
      <c r="AC16" s="1290">
        <v>1.54</v>
      </c>
      <c r="AD16" s="1290">
        <v>1.59</v>
      </c>
      <c r="AF16" s="1290">
        <v>0.5</v>
      </c>
      <c r="AG16" s="1290">
        <v>1.85</v>
      </c>
      <c r="AH16" s="1290">
        <v>1.37</v>
      </c>
      <c r="AI16" s="1290">
        <v>1.0900000000000001</v>
      </c>
      <c r="AJ16" s="1290">
        <v>1.64</v>
      </c>
      <c r="AK16" s="1290">
        <v>1.64</v>
      </c>
      <c r="AL16" s="1290">
        <v>1.64</v>
      </c>
      <c r="AM16" s="1290">
        <v>1.0900000000000001</v>
      </c>
      <c r="AN16" s="1290">
        <v>1.37</v>
      </c>
    </row>
    <row r="17" spans="1:40" s="13" customFormat="1" ht="15" customHeight="1" x14ac:dyDescent="0.2">
      <c r="A17" s="315"/>
      <c r="B17" s="807">
        <v>0.7</v>
      </c>
      <c r="C17" s="807">
        <v>1.79</v>
      </c>
      <c r="D17" s="807">
        <v>1.82</v>
      </c>
      <c r="E17" s="807">
        <v>1.82</v>
      </c>
      <c r="F17" s="1290">
        <v>2</v>
      </c>
      <c r="G17" s="1290">
        <v>1.39</v>
      </c>
      <c r="H17" s="834"/>
      <c r="I17" s="837"/>
      <c r="J17" s="834"/>
      <c r="K17" s="807">
        <v>0.7</v>
      </c>
      <c r="L17" s="807">
        <v>1.89</v>
      </c>
      <c r="M17" s="807">
        <v>1.59</v>
      </c>
      <c r="N17" s="807">
        <v>1.1200000000000001</v>
      </c>
      <c r="O17" s="1290">
        <v>1.96</v>
      </c>
      <c r="P17" s="1290">
        <v>1.96</v>
      </c>
      <c r="Q17" s="834"/>
      <c r="R17" s="834"/>
      <c r="S17" s="834"/>
      <c r="T17" s="15"/>
      <c r="V17" s="1290">
        <v>0.6</v>
      </c>
      <c r="W17" s="1290">
        <v>1.75</v>
      </c>
      <c r="X17" s="1290">
        <v>1.69</v>
      </c>
      <c r="Y17" s="1290">
        <v>1.64</v>
      </c>
      <c r="Z17" s="1290">
        <v>1.89</v>
      </c>
      <c r="AA17" s="1290">
        <v>1.39</v>
      </c>
      <c r="AB17" s="1290">
        <v>1.89</v>
      </c>
      <c r="AC17" s="1290">
        <v>1.64</v>
      </c>
      <c r="AD17" s="1290">
        <v>1.69</v>
      </c>
      <c r="AF17" s="1290">
        <v>0.6</v>
      </c>
      <c r="AG17" s="1290">
        <v>1.85</v>
      </c>
      <c r="AH17" s="1290">
        <v>1.47</v>
      </c>
      <c r="AI17" s="1290">
        <v>1.1000000000000001</v>
      </c>
      <c r="AJ17" s="1290">
        <v>1.83</v>
      </c>
      <c r="AK17" s="1290">
        <v>1.82</v>
      </c>
      <c r="AL17" s="1290">
        <v>1.83</v>
      </c>
      <c r="AM17" s="1290">
        <v>1.1000000000000001</v>
      </c>
      <c r="AN17" s="1290">
        <v>1.47</v>
      </c>
    </row>
    <row r="18" spans="1:40" s="13" customFormat="1" ht="15" customHeight="1" x14ac:dyDescent="0.2">
      <c r="A18" s="315"/>
      <c r="B18" s="807">
        <v>0.8</v>
      </c>
      <c r="C18" s="807">
        <v>1.82</v>
      </c>
      <c r="D18" s="807">
        <v>1.89</v>
      </c>
      <c r="E18" s="807">
        <v>1.89</v>
      </c>
      <c r="F18" s="1290">
        <v>2.13</v>
      </c>
      <c r="G18" s="1290">
        <v>1.39</v>
      </c>
      <c r="H18" s="834"/>
      <c r="I18" s="837"/>
      <c r="J18" s="834"/>
      <c r="K18" s="807">
        <v>0.8</v>
      </c>
      <c r="L18" s="807">
        <v>1.89</v>
      </c>
      <c r="M18" s="807">
        <v>1.69</v>
      </c>
      <c r="N18" s="807">
        <v>1.1399999999999999</v>
      </c>
      <c r="O18" s="1290">
        <v>2.13</v>
      </c>
      <c r="P18" s="1290">
        <v>2.13</v>
      </c>
      <c r="Q18" s="834"/>
      <c r="R18" s="834"/>
      <c r="S18" s="834"/>
      <c r="T18" s="15"/>
      <c r="V18" s="1290">
        <v>0.7</v>
      </c>
      <c r="W18" s="1290">
        <v>1.79</v>
      </c>
      <c r="X18" s="1290">
        <v>1.82</v>
      </c>
      <c r="Y18" s="1290">
        <v>1.82</v>
      </c>
      <c r="Z18" s="1290">
        <v>2</v>
      </c>
      <c r="AA18" s="1290">
        <v>1.39</v>
      </c>
      <c r="AB18" s="1290">
        <v>2</v>
      </c>
      <c r="AC18" s="1290">
        <v>1.82</v>
      </c>
      <c r="AD18" s="1290">
        <v>1.82</v>
      </c>
      <c r="AF18" s="1290">
        <v>0.7</v>
      </c>
      <c r="AG18" s="1290">
        <v>1.89</v>
      </c>
      <c r="AH18" s="1290">
        <v>1.59</v>
      </c>
      <c r="AI18" s="1290">
        <v>1.1200000000000001</v>
      </c>
      <c r="AJ18" s="1290">
        <v>1.96</v>
      </c>
      <c r="AK18" s="1290">
        <v>1.96</v>
      </c>
      <c r="AL18" s="1290">
        <v>1.96</v>
      </c>
      <c r="AM18" s="1290">
        <v>1.1200000000000001</v>
      </c>
      <c r="AN18" s="1290">
        <v>1.59</v>
      </c>
    </row>
    <row r="19" spans="1:40" s="13" customFormat="1" ht="15" customHeight="1" x14ac:dyDescent="0.2">
      <c r="A19" s="315"/>
      <c r="B19" s="807">
        <v>0.9</v>
      </c>
      <c r="C19" s="807">
        <v>1.85</v>
      </c>
      <c r="D19" s="807">
        <v>2</v>
      </c>
      <c r="E19" s="807">
        <v>2</v>
      </c>
      <c r="F19" s="1290">
        <v>2.2200000000000002</v>
      </c>
      <c r="G19" s="1290">
        <v>1.39</v>
      </c>
      <c r="H19" s="834"/>
      <c r="I19" s="837"/>
      <c r="J19" s="834"/>
      <c r="K19" s="807">
        <v>0.9</v>
      </c>
      <c r="L19" s="807">
        <v>1.89</v>
      </c>
      <c r="M19" s="807">
        <v>1.82</v>
      </c>
      <c r="N19" s="807">
        <v>1.1599999999999999</v>
      </c>
      <c r="O19" s="1290">
        <v>2.2200000000000002</v>
      </c>
      <c r="P19" s="1290">
        <v>2.2200000000000002</v>
      </c>
      <c r="Q19" s="834"/>
      <c r="R19" s="834"/>
      <c r="S19" s="834"/>
      <c r="T19" s="15"/>
      <c r="V19" s="1290">
        <v>0.8</v>
      </c>
      <c r="W19" s="1290">
        <v>1.82</v>
      </c>
      <c r="X19" s="1290">
        <v>1.89</v>
      </c>
      <c r="Y19" s="1290">
        <v>1.89</v>
      </c>
      <c r="Z19" s="1290">
        <v>2.13</v>
      </c>
      <c r="AA19" s="1290">
        <v>1.39</v>
      </c>
      <c r="AB19" s="1290">
        <v>2.13</v>
      </c>
      <c r="AC19" s="1290">
        <v>1.89</v>
      </c>
      <c r="AD19" s="1290">
        <v>1.89</v>
      </c>
      <c r="AF19" s="1290">
        <v>0.8</v>
      </c>
      <c r="AG19" s="1290">
        <v>1.89</v>
      </c>
      <c r="AH19" s="1290">
        <v>1.69</v>
      </c>
      <c r="AI19" s="1290">
        <v>1.1399999999999999</v>
      </c>
      <c r="AJ19" s="1290">
        <v>2.13</v>
      </c>
      <c r="AK19" s="1290">
        <v>2.13</v>
      </c>
      <c r="AL19" s="1290">
        <v>2.13</v>
      </c>
      <c r="AM19" s="1290">
        <v>1.1399999999999999</v>
      </c>
      <c r="AN19" s="1290">
        <v>1.69</v>
      </c>
    </row>
    <row r="20" spans="1:40" s="13" customFormat="1" ht="15" customHeight="1" x14ac:dyDescent="0.2">
      <c r="A20" s="315"/>
      <c r="B20" s="807">
        <v>1</v>
      </c>
      <c r="C20" s="807">
        <v>1.85</v>
      </c>
      <c r="D20" s="807">
        <v>2.08</v>
      </c>
      <c r="E20" s="807">
        <v>2.08</v>
      </c>
      <c r="F20" s="1290">
        <v>2.27</v>
      </c>
      <c r="G20" s="1290">
        <v>1.39</v>
      </c>
      <c r="H20" s="834"/>
      <c r="I20" s="837"/>
      <c r="J20" s="834"/>
      <c r="K20" s="807">
        <v>1</v>
      </c>
      <c r="L20" s="807">
        <v>1.89</v>
      </c>
      <c r="M20" s="807">
        <v>1.96</v>
      </c>
      <c r="N20" s="807">
        <v>1.18</v>
      </c>
      <c r="O20" s="1290">
        <v>2.33</v>
      </c>
      <c r="P20" s="1290">
        <v>2.33</v>
      </c>
      <c r="Q20" s="834"/>
      <c r="R20" s="834"/>
      <c r="S20" s="834"/>
      <c r="T20" s="15"/>
      <c r="V20" s="1290">
        <v>0.9</v>
      </c>
      <c r="W20" s="1290">
        <v>1.85</v>
      </c>
      <c r="X20" s="1290">
        <v>2</v>
      </c>
      <c r="Y20" s="1290">
        <v>2</v>
      </c>
      <c r="Z20" s="1290">
        <v>2.2200000000000002</v>
      </c>
      <c r="AA20" s="1290">
        <v>1.39</v>
      </c>
      <c r="AB20" s="1290">
        <v>2.2200000000000002</v>
      </c>
      <c r="AC20" s="1290">
        <v>2</v>
      </c>
      <c r="AD20" s="1290">
        <v>2</v>
      </c>
      <c r="AF20" s="1290">
        <v>0.9</v>
      </c>
      <c r="AG20" s="1290">
        <v>1.89</v>
      </c>
      <c r="AH20" s="1290">
        <v>1.82</v>
      </c>
      <c r="AI20" s="1290">
        <v>1.1599999999999999</v>
      </c>
      <c r="AJ20" s="1290">
        <v>2.2200000000000002</v>
      </c>
      <c r="AK20" s="1290">
        <v>2.2200000000000002</v>
      </c>
      <c r="AL20" s="1290">
        <v>2.2200000000000002</v>
      </c>
      <c r="AM20" s="1290">
        <v>1.1599999999999999</v>
      </c>
      <c r="AN20" s="1290">
        <v>1.82</v>
      </c>
    </row>
    <row r="21" spans="1:40" s="13" customFormat="1" ht="15" customHeight="1" x14ac:dyDescent="0.2">
      <c r="A21" s="315"/>
      <c r="B21" s="2431" t="s">
        <v>1273</v>
      </c>
      <c r="C21" s="2431"/>
      <c r="D21" s="2431"/>
      <c r="E21" s="2431"/>
      <c r="F21" s="2431"/>
      <c r="G21" s="834"/>
      <c r="H21" s="834"/>
      <c r="I21" s="837"/>
      <c r="J21" s="834"/>
      <c r="K21" s="2431" t="s">
        <v>1482</v>
      </c>
      <c r="L21" s="2431"/>
      <c r="M21" s="2431"/>
      <c r="N21" s="2431"/>
      <c r="O21" s="2431"/>
      <c r="P21" s="834"/>
      <c r="Q21" s="834"/>
      <c r="R21" s="834"/>
      <c r="S21" s="834"/>
      <c r="T21" s="15"/>
      <c r="V21" s="1290">
        <v>1</v>
      </c>
      <c r="W21" s="1290">
        <v>1.85</v>
      </c>
      <c r="X21" s="1290">
        <v>2.08</v>
      </c>
      <c r="Y21" s="1290">
        <v>2.08</v>
      </c>
      <c r="Z21" s="1290">
        <v>2.27</v>
      </c>
      <c r="AA21" s="1290">
        <v>1.39</v>
      </c>
      <c r="AB21" s="1290">
        <v>2.27</v>
      </c>
      <c r="AC21" s="1290">
        <v>2.08</v>
      </c>
      <c r="AD21" s="1290">
        <v>2.08</v>
      </c>
      <c r="AF21" s="1290">
        <v>1</v>
      </c>
      <c r="AG21" s="1290">
        <v>1.89</v>
      </c>
      <c r="AH21" s="1290">
        <v>1.96</v>
      </c>
      <c r="AI21" s="1290">
        <v>1.18</v>
      </c>
      <c r="AJ21" s="1290">
        <v>2.33</v>
      </c>
      <c r="AK21" s="1290">
        <v>2.33</v>
      </c>
      <c r="AL21" s="1290">
        <v>2.33</v>
      </c>
      <c r="AM21" s="1290">
        <v>1.18</v>
      </c>
      <c r="AN21" s="1290">
        <v>1.96</v>
      </c>
    </row>
    <row r="22" spans="1:40" s="13" customFormat="1" ht="15" customHeight="1" x14ac:dyDescent="0.2">
      <c r="A22" s="899" t="s">
        <v>1484</v>
      </c>
      <c r="B22" s="900"/>
      <c r="C22" s="901"/>
      <c r="D22" s="901"/>
      <c r="E22" s="901"/>
      <c r="F22" s="901"/>
      <c r="G22" s="901"/>
      <c r="H22" s="834"/>
      <c r="I22" s="837"/>
      <c r="J22" s="899" t="s">
        <v>1484</v>
      </c>
      <c r="K22" s="901"/>
      <c r="L22" s="901"/>
      <c r="M22" s="901"/>
      <c r="N22" s="901"/>
      <c r="O22" s="901"/>
      <c r="P22" s="901"/>
      <c r="Q22" s="834"/>
      <c r="R22" s="834"/>
      <c r="S22" s="834"/>
    </row>
    <row r="23" spans="1:40" s="13" customFormat="1" ht="15" customHeight="1" x14ac:dyDescent="0.2">
      <c r="A23" s="899" t="s">
        <v>1485</v>
      </c>
      <c r="B23" s="900"/>
      <c r="C23" s="901"/>
      <c r="D23" s="901"/>
      <c r="E23" s="901"/>
      <c r="F23" s="901"/>
      <c r="G23" s="901"/>
      <c r="H23" s="834"/>
      <c r="I23" s="837"/>
      <c r="J23" s="902" t="s">
        <v>1490</v>
      </c>
      <c r="K23" s="901"/>
      <c r="L23" s="901"/>
      <c r="M23" s="901"/>
      <c r="N23" s="901"/>
      <c r="O23" s="901"/>
      <c r="P23" s="901"/>
      <c r="Q23" s="834"/>
      <c r="R23" s="834"/>
      <c r="S23" s="834"/>
    </row>
    <row r="24" spans="1:40" s="13" customFormat="1" ht="15" customHeight="1" x14ac:dyDescent="0.2">
      <c r="A24" s="899" t="s">
        <v>1486</v>
      </c>
      <c r="B24" s="900"/>
      <c r="C24" s="901"/>
      <c r="D24" s="901"/>
      <c r="E24" s="901"/>
      <c r="F24" s="901"/>
      <c r="G24" s="901"/>
      <c r="H24" s="834"/>
      <c r="I24" s="837"/>
      <c r="J24" s="902" t="s">
        <v>1491</v>
      </c>
      <c r="K24" s="901"/>
      <c r="L24" s="901"/>
      <c r="M24" s="901"/>
      <c r="N24" s="901"/>
      <c r="O24" s="901"/>
      <c r="P24" s="901"/>
      <c r="Q24" s="834"/>
      <c r="R24" s="834"/>
      <c r="S24" s="834"/>
    </row>
    <row r="25" spans="1:40" s="13" customFormat="1" ht="15" customHeight="1" x14ac:dyDescent="0.2">
      <c r="A25" s="899" t="s">
        <v>1487</v>
      </c>
      <c r="B25" s="900"/>
      <c r="C25" s="901"/>
      <c r="D25" s="901"/>
      <c r="E25" s="901"/>
      <c r="F25" s="901"/>
      <c r="G25" s="901"/>
      <c r="H25" s="834"/>
      <c r="I25" s="837"/>
      <c r="J25" s="902" t="s">
        <v>1492</v>
      </c>
      <c r="K25" s="901"/>
      <c r="L25" s="901"/>
      <c r="M25" s="901"/>
      <c r="N25" s="901"/>
      <c r="O25" s="901"/>
      <c r="P25" s="901"/>
      <c r="Q25" s="834"/>
      <c r="R25" s="834"/>
      <c r="S25" s="834"/>
    </row>
    <row r="26" spans="1:40" s="13" customFormat="1" ht="15" customHeight="1" x14ac:dyDescent="0.2">
      <c r="A26" s="899" t="s">
        <v>1488</v>
      </c>
      <c r="B26" s="900"/>
      <c r="C26" s="901"/>
      <c r="D26" s="901"/>
      <c r="E26" s="901"/>
      <c r="F26" s="901"/>
      <c r="G26" s="901"/>
      <c r="H26" s="834"/>
      <c r="I26" s="837"/>
      <c r="J26" s="902" t="s">
        <v>1493</v>
      </c>
      <c r="K26" s="901"/>
      <c r="L26" s="901"/>
      <c r="M26" s="901"/>
      <c r="N26" s="901"/>
      <c r="O26" s="901"/>
      <c r="P26" s="901"/>
      <c r="Q26" s="834"/>
      <c r="R26" s="834"/>
      <c r="S26" s="834"/>
    </row>
    <row r="27" spans="1:40" s="13" customFormat="1" ht="15" customHeight="1" x14ac:dyDescent="0.2">
      <c r="A27" s="2434" t="s">
        <v>1489</v>
      </c>
      <c r="B27" s="2434"/>
      <c r="C27" s="2434"/>
      <c r="D27" s="2434"/>
      <c r="E27" s="2434"/>
      <c r="F27" s="2434"/>
      <c r="G27" s="2434"/>
      <c r="H27" s="838"/>
      <c r="I27" s="837"/>
      <c r="J27" s="2433" t="s">
        <v>1494</v>
      </c>
      <c r="K27" s="2434"/>
      <c r="L27" s="2434"/>
      <c r="M27" s="2434"/>
      <c r="N27" s="2434"/>
      <c r="O27" s="2434"/>
      <c r="P27" s="2434"/>
      <c r="Q27" s="838"/>
      <c r="R27" s="834"/>
      <c r="S27" s="834"/>
    </row>
    <row r="28" spans="1:40" s="13" customFormat="1" ht="15" customHeight="1" x14ac:dyDescent="0.2">
      <c r="A28" s="2434"/>
      <c r="B28" s="2434"/>
      <c r="C28" s="2434"/>
      <c r="D28" s="2434"/>
      <c r="E28" s="2434"/>
      <c r="F28" s="2434"/>
      <c r="G28" s="2434"/>
      <c r="H28" s="838"/>
      <c r="I28" s="837"/>
      <c r="J28" s="2433"/>
      <c r="K28" s="2434"/>
      <c r="L28" s="2434"/>
      <c r="M28" s="2434"/>
      <c r="N28" s="2434"/>
      <c r="O28" s="2434"/>
      <c r="P28" s="2434"/>
      <c r="Q28" s="838"/>
      <c r="R28" s="834"/>
      <c r="S28" s="834"/>
    </row>
    <row r="29" spans="1:40" s="13" customFormat="1" ht="15" customHeight="1" x14ac:dyDescent="0.2">
      <c r="A29" s="838"/>
      <c r="B29" s="838"/>
      <c r="C29" s="838"/>
      <c r="D29" s="838"/>
      <c r="E29" s="838"/>
      <c r="F29" s="838"/>
      <c r="G29" s="838"/>
      <c r="H29" s="838"/>
      <c r="I29" s="837"/>
      <c r="J29" s="839"/>
      <c r="K29" s="838"/>
      <c r="L29" s="838"/>
      <c r="M29" s="838"/>
      <c r="N29" s="838"/>
      <c r="O29" s="838"/>
      <c r="P29" s="838"/>
      <c r="Q29" s="838"/>
      <c r="R29" s="834"/>
      <c r="S29" s="834"/>
    </row>
    <row r="30" spans="1:40" s="13" customFormat="1" ht="15" customHeight="1" x14ac:dyDescent="0.2">
      <c r="A30" s="838"/>
      <c r="B30" s="838"/>
      <c r="C30" s="838"/>
      <c r="D30" s="838"/>
      <c r="E30" s="838"/>
      <c r="F30" s="838"/>
      <c r="G30" s="838"/>
      <c r="H30" s="838"/>
      <c r="I30" s="837"/>
      <c r="J30" s="839"/>
      <c r="K30" s="838"/>
      <c r="L30" s="838"/>
      <c r="M30" s="838"/>
      <c r="N30" s="838"/>
      <c r="O30" s="838"/>
      <c r="P30" s="838"/>
      <c r="Q30" s="838"/>
      <c r="R30" s="834"/>
      <c r="S30" s="834"/>
    </row>
    <row r="31" spans="1:40" s="13" customFormat="1" ht="15" customHeight="1" x14ac:dyDescent="0.2">
      <c r="A31" s="838"/>
      <c r="B31" s="838"/>
      <c r="C31" s="838"/>
      <c r="D31" s="838"/>
      <c r="E31" s="838"/>
      <c r="F31" s="838"/>
      <c r="G31" s="838"/>
      <c r="H31" s="838"/>
      <c r="I31" s="837"/>
      <c r="J31" s="839"/>
      <c r="K31" s="838"/>
      <c r="L31" s="838"/>
      <c r="M31" s="838"/>
      <c r="N31" s="838"/>
      <c r="O31" s="838"/>
      <c r="P31" s="838"/>
      <c r="Q31" s="838"/>
      <c r="R31" s="834"/>
      <c r="S31" s="834"/>
    </row>
    <row r="32" spans="1:40" s="13" customFormat="1" ht="15" customHeight="1" x14ac:dyDescent="0.2">
      <c r="A32" s="838"/>
      <c r="B32" s="838"/>
      <c r="C32" s="838"/>
      <c r="D32" s="838"/>
      <c r="E32" s="838"/>
      <c r="F32" s="838"/>
      <c r="G32" s="838"/>
      <c r="H32" s="838"/>
      <c r="I32" s="837"/>
      <c r="J32" s="839"/>
      <c r="K32" s="838"/>
      <c r="L32" s="838"/>
      <c r="M32" s="838"/>
      <c r="N32" s="838"/>
      <c r="O32" s="838"/>
      <c r="P32" s="838"/>
      <c r="Q32" s="838"/>
      <c r="R32" s="834"/>
      <c r="S32" s="834"/>
    </row>
    <row r="33" spans="1:29" s="13" customFormat="1" ht="15" customHeight="1" x14ac:dyDescent="0.2">
      <c r="A33" s="838"/>
      <c r="B33" s="838"/>
      <c r="C33" s="838"/>
      <c r="D33" s="838"/>
      <c r="E33" s="838"/>
      <c r="F33" s="838"/>
      <c r="G33" s="838"/>
      <c r="H33" s="838"/>
      <c r="I33" s="837"/>
      <c r="J33" s="839"/>
      <c r="K33" s="838"/>
      <c r="L33" s="838"/>
      <c r="M33" s="838"/>
      <c r="N33" s="838"/>
      <c r="O33" s="838"/>
      <c r="P33" s="838"/>
      <c r="Q33" s="838"/>
      <c r="R33" s="834"/>
      <c r="S33" s="834"/>
    </row>
    <row r="34" spans="1:29" s="13" customFormat="1" ht="15" customHeight="1" x14ac:dyDescent="0.2">
      <c r="A34" s="838"/>
      <c r="B34" s="838"/>
      <c r="C34" s="838"/>
      <c r="D34" s="838"/>
      <c r="E34" s="838"/>
      <c r="F34" s="838"/>
      <c r="G34" s="838"/>
      <c r="H34" s="838"/>
      <c r="I34" s="837"/>
      <c r="J34" s="839"/>
      <c r="K34" s="838"/>
      <c r="L34" s="838"/>
      <c r="M34" s="838"/>
      <c r="N34" s="838"/>
      <c r="O34" s="838"/>
      <c r="P34" s="838"/>
      <c r="Q34" s="838"/>
      <c r="R34" s="834"/>
      <c r="S34" s="834"/>
    </row>
    <row r="35" spans="1:29" s="13" customFormat="1" ht="15" customHeight="1" x14ac:dyDescent="0.2">
      <c r="A35" s="838"/>
      <c r="B35" s="838"/>
      <c r="C35" s="838"/>
      <c r="D35" s="838"/>
      <c r="E35" s="838"/>
      <c r="F35" s="838"/>
      <c r="G35" s="838"/>
      <c r="H35" s="838"/>
      <c r="I35" s="837"/>
      <c r="J35" s="839"/>
      <c r="K35" s="838"/>
      <c r="L35" s="838"/>
      <c r="M35" s="838"/>
      <c r="N35" s="838"/>
      <c r="O35" s="838"/>
      <c r="P35" s="838"/>
      <c r="Q35" s="838"/>
      <c r="R35" s="834"/>
      <c r="S35" s="834"/>
    </row>
    <row r="36" spans="1:29" s="13" customFormat="1" ht="15" customHeight="1" x14ac:dyDescent="0.2">
      <c r="A36" s="838"/>
      <c r="B36" s="838"/>
      <c r="C36" s="838"/>
      <c r="D36" s="838"/>
      <c r="E36" s="838"/>
      <c r="F36" s="838"/>
      <c r="G36" s="838"/>
      <c r="H36" s="838"/>
      <c r="I36" s="837"/>
      <c r="J36" s="839"/>
      <c r="K36" s="838"/>
      <c r="L36" s="838"/>
      <c r="M36" s="838"/>
      <c r="N36" s="838"/>
      <c r="O36" s="838"/>
      <c r="P36" s="838"/>
      <c r="Q36" s="838"/>
      <c r="R36" s="834"/>
      <c r="S36" s="834"/>
    </row>
    <row r="37" spans="1:29" s="13" customFormat="1" ht="15" customHeight="1" x14ac:dyDescent="0.2">
      <c r="A37" s="838"/>
      <c r="B37" s="838"/>
      <c r="C37" s="838"/>
      <c r="D37" s="838"/>
      <c r="E37" s="838"/>
      <c r="F37" s="838"/>
      <c r="G37" s="838"/>
      <c r="H37" s="838"/>
      <c r="I37" s="837"/>
      <c r="J37" s="839"/>
      <c r="K37" s="838"/>
      <c r="L37" s="838"/>
      <c r="M37" s="838"/>
      <c r="N37" s="838"/>
      <c r="O37" s="838"/>
      <c r="P37" s="838"/>
      <c r="Q37" s="838"/>
      <c r="R37" s="834"/>
      <c r="S37" s="834"/>
    </row>
    <row r="38" spans="1:29" s="13" customFormat="1" ht="15" customHeight="1" x14ac:dyDescent="0.2">
      <c r="A38" s="838"/>
      <c r="B38" s="838"/>
      <c r="C38" s="838"/>
      <c r="D38" s="838"/>
      <c r="E38" s="838"/>
      <c r="F38" s="838"/>
      <c r="G38" s="838"/>
      <c r="H38" s="838"/>
      <c r="I38" s="837"/>
      <c r="J38" s="839"/>
      <c r="K38" s="838"/>
      <c r="L38" s="838"/>
      <c r="M38" s="838"/>
      <c r="N38" s="838"/>
      <c r="O38" s="838"/>
      <c r="P38" s="838"/>
      <c r="Q38" s="838"/>
      <c r="R38" s="834"/>
      <c r="S38" s="834"/>
    </row>
    <row r="39" spans="1:29" s="13" customFormat="1" ht="15" customHeight="1" x14ac:dyDescent="0.2">
      <c r="A39" s="838"/>
      <c r="B39" s="838"/>
      <c r="C39" s="838"/>
      <c r="D39" s="838"/>
      <c r="E39" s="838"/>
      <c r="F39" s="838"/>
      <c r="G39" s="838"/>
      <c r="H39" s="838"/>
      <c r="I39" s="837"/>
      <c r="J39" s="839"/>
      <c r="K39" s="838"/>
      <c r="L39" s="838"/>
      <c r="M39" s="838"/>
      <c r="N39" s="838"/>
      <c r="O39" s="838"/>
      <c r="P39" s="838"/>
      <c r="Q39" s="838"/>
      <c r="R39" s="834"/>
      <c r="S39" s="834"/>
    </row>
    <row r="40" spans="1:29" s="13" customFormat="1" ht="18" customHeight="1" x14ac:dyDescent="0.2">
      <c r="A40" s="315"/>
      <c r="B40" s="1300" t="s">
        <v>2450</v>
      </c>
      <c r="C40" s="834"/>
      <c r="D40" s="834"/>
      <c r="E40" s="834"/>
      <c r="F40" s="834"/>
      <c r="G40" s="834"/>
      <c r="H40" s="834"/>
      <c r="I40" s="837"/>
      <c r="J40" s="834"/>
      <c r="K40" s="834"/>
      <c r="L40" s="834"/>
      <c r="M40" s="834"/>
      <c r="N40" s="834"/>
      <c r="O40" s="834"/>
      <c r="P40" s="834"/>
      <c r="Q40" s="834"/>
      <c r="R40" s="834"/>
      <c r="S40" s="834"/>
      <c r="T40" s="1283"/>
      <c r="U40" s="1283"/>
    </row>
    <row r="41" spans="1:29" s="38" customFormat="1" ht="27.75" customHeight="1" x14ac:dyDescent="0.25">
      <c r="A41" s="49"/>
      <c r="B41" s="463" t="s">
        <v>814</v>
      </c>
      <c r="C41" s="2420" t="s">
        <v>782</v>
      </c>
      <c r="D41" s="2420"/>
      <c r="E41" s="2421" t="s">
        <v>815</v>
      </c>
      <c r="F41" s="2421"/>
      <c r="G41" s="2421" t="s">
        <v>816</v>
      </c>
      <c r="H41" s="2421"/>
      <c r="I41" s="648" t="s">
        <v>817</v>
      </c>
      <c r="J41" s="648" t="s">
        <v>808</v>
      </c>
      <c r="K41" s="1288" t="s">
        <v>818</v>
      </c>
      <c r="L41" s="2421" t="s">
        <v>819</v>
      </c>
      <c r="M41" s="2422"/>
      <c r="N41" s="49"/>
      <c r="O41" s="49"/>
      <c r="P41" s="49"/>
      <c r="Q41" s="49"/>
      <c r="R41" s="49"/>
      <c r="S41" s="38" t="s">
        <v>821</v>
      </c>
      <c r="T41" s="38" t="s">
        <v>822</v>
      </c>
      <c r="U41" t="s">
        <v>799</v>
      </c>
      <c r="V41" t="s">
        <v>800</v>
      </c>
      <c r="W41" t="s">
        <v>801</v>
      </c>
      <c r="X41" t="s">
        <v>823</v>
      </c>
      <c r="Y41" t="s">
        <v>824</v>
      </c>
      <c r="Z41" s="38" t="s">
        <v>825</v>
      </c>
      <c r="AA41" s="13"/>
      <c r="AB41" s="13"/>
      <c r="AC41" s="13"/>
    </row>
    <row r="42" spans="1:29" s="38" customFormat="1" ht="16.5" customHeight="1" x14ac:dyDescent="0.25">
      <c r="A42" s="49"/>
      <c r="B42" s="649"/>
      <c r="C42" s="2416" t="s">
        <v>460</v>
      </c>
      <c r="D42" s="2417"/>
      <c r="E42" s="2416"/>
      <c r="F42" s="2417"/>
      <c r="G42" s="2416"/>
      <c r="H42" s="2417"/>
      <c r="I42" s="649"/>
      <c r="J42" s="1268" t="str">
        <f t="shared" ref="J42:J49" si="0">IFERROR(E42/G42,"")</f>
        <v/>
      </c>
      <c r="K42" s="1268" t="str">
        <f t="shared" ref="K42:K49" si="1">IFERROR(I42/G42,"")</f>
        <v/>
      </c>
      <c r="L42" s="2423" t="str">
        <f t="shared" ref="L42:L49" si="2">IFERROR(IF(K42&lt;=0.1,IF(S42=T42,AVERAGE(X42:Y42),X42+(J42-S42)*(Y42-X42)/(T42-S42)),""),"")</f>
        <v/>
      </c>
      <c r="M42" s="2424"/>
      <c r="N42" s="49" t="str">
        <f t="shared" ref="N42:N47" si="3">IF(K42="","",IF(K42&gt;0.1,"Unapplicable: d/H&gt;0.1",""))</f>
        <v/>
      </c>
      <c r="O42" s="49"/>
      <c r="P42" s="49"/>
      <c r="Q42" s="49"/>
      <c r="R42" s="49"/>
      <c r="S42" t="str">
        <f>IF(J42="","",IF(J42&lt;0.1,0,IF('E-1 Passive Design'!H1106&lt;0.2,0.1,IF(J42&lt;0.3,0.2,IF(J42&lt;0.4,0.3,IF(J42&lt;0.5,0.4,IF(J42&lt;0.6,0.5,IF(J42&lt;0.7,0.6,IF(J42&lt;0.8,0.7,IF(J42&lt;0.9,0.8,0.9))))))))))</f>
        <v/>
      </c>
      <c r="T42" s="38" t="str">
        <f t="shared" ref="T42:T49" si="4">IF(J42="","",IF(J42&lt;=0.1,0.1,IF(J42&lt;=0.2,0.2,IF(J42&lt;=0.3,0.3,IF(J42&lt;=0.4,0.4,IF(J42&lt;=0.5,0.5,IF(J42&lt;=0.6,0.6,IF(J42&lt;=0.7,0.7,IF(J42&lt;=0.8,0.8,IF(J42&lt;=0.9,0.9,1))))))))))</f>
        <v/>
      </c>
      <c r="U42" s="38">
        <f>MATCH(C42,$V$10:$AD$10,0)</f>
        <v>3</v>
      </c>
      <c r="V42" s="38" t="e">
        <f>MATCH(S42,$V$10:$V$21,0)</f>
        <v>#N/A</v>
      </c>
      <c r="W42" s="38" t="e">
        <f>MATCH(T42,$V$10:$V$21,0)</f>
        <v>#N/A</v>
      </c>
      <c r="X42" s="38" t="e">
        <f>INDEX($V$10:$AD$21,V42,U42)</f>
        <v>#N/A</v>
      </c>
      <c r="Y42" s="38" t="e">
        <f>INDEX($V$10:$AD$21,W42,U42)</f>
        <v>#N/A</v>
      </c>
      <c r="Z42" s="38">
        <f t="shared" ref="Z42:Z49" si="5">IFERROR(IF(K42&lt;=0.1,IF(S42=T42,AVERAGE(X42:Y42),X42+(J42-S42)*(Y42-X42)/(T42-S42)),0),0)</f>
        <v>0</v>
      </c>
    </row>
    <row r="43" spans="1:29" s="38" customFormat="1" ht="16.5" customHeight="1" x14ac:dyDescent="0.25">
      <c r="A43" s="49"/>
      <c r="B43" s="446"/>
      <c r="C43" s="2416" t="s">
        <v>124</v>
      </c>
      <c r="D43" s="2417"/>
      <c r="E43" s="2416"/>
      <c r="F43" s="2417"/>
      <c r="G43" s="2416"/>
      <c r="H43" s="2417"/>
      <c r="I43" s="446"/>
      <c r="J43" s="1269" t="str">
        <f t="shared" si="0"/>
        <v/>
      </c>
      <c r="K43" s="1269" t="str">
        <f t="shared" si="1"/>
        <v/>
      </c>
      <c r="L43" s="2418" t="str">
        <f t="shared" si="2"/>
        <v/>
      </c>
      <c r="M43" s="2419"/>
      <c r="N43" s="49" t="str">
        <f t="shared" si="3"/>
        <v/>
      </c>
      <c r="O43" s="49"/>
      <c r="P43" s="49"/>
      <c r="Q43" s="49"/>
      <c r="R43" s="49"/>
      <c r="S43" t="str">
        <f>IF(J43="","",IF(J43&lt;0.1,0,IF('E-1 Passive Design'!H1107&lt;0.2,0.1,IF(J43&lt;0.3,0.2,IF(J43&lt;0.4,0.3,IF(J43&lt;0.5,0.4,IF(J43&lt;0.6,0.5,IF(J43&lt;0.7,0.6,IF(J43&lt;0.8,0.7,IF(J43&lt;0.9,0.8,0.9))))))))))</f>
        <v/>
      </c>
      <c r="T43" s="38" t="str">
        <f t="shared" si="4"/>
        <v/>
      </c>
      <c r="U43" s="38" t="e">
        <f t="shared" ref="U43:U49" si="6">MATCH(C43,$V$10:$AD$10,0)</f>
        <v>#N/A</v>
      </c>
      <c r="V43" s="38" t="e">
        <f t="shared" ref="V43:V49" si="7">MATCH(S43,$V$10:$V$21,0)</f>
        <v>#N/A</v>
      </c>
      <c r="W43" s="38" t="e">
        <f t="shared" ref="W43:W49" si="8">MATCH(T43,$V$10:$V$21,0)</f>
        <v>#N/A</v>
      </c>
      <c r="X43" s="38" t="e">
        <f t="shared" ref="X43:X49" si="9">INDEX($V$10:$AD$21,V43,U43)</f>
        <v>#N/A</v>
      </c>
      <c r="Y43" s="38" t="e">
        <f t="shared" ref="Y43:Y49" si="10">INDEX($V$10:$AD$21,W43,U43)</f>
        <v>#N/A</v>
      </c>
      <c r="Z43" s="38">
        <f t="shared" si="5"/>
        <v>0</v>
      </c>
    </row>
    <row r="44" spans="1:29" s="38" customFormat="1" ht="16.5" customHeight="1" x14ac:dyDescent="0.25">
      <c r="A44" s="49"/>
      <c r="B44" s="446"/>
      <c r="C44" s="2416" t="s">
        <v>124</v>
      </c>
      <c r="D44" s="2417"/>
      <c r="E44" s="2416"/>
      <c r="F44" s="2417"/>
      <c r="G44" s="2416"/>
      <c r="H44" s="2417"/>
      <c r="I44" s="446"/>
      <c r="J44" s="1269" t="str">
        <f t="shared" si="0"/>
        <v/>
      </c>
      <c r="K44" s="1269" t="str">
        <f t="shared" si="1"/>
        <v/>
      </c>
      <c r="L44" s="2418" t="str">
        <f t="shared" si="2"/>
        <v/>
      </c>
      <c r="M44" s="2419"/>
      <c r="N44" s="49" t="str">
        <f t="shared" si="3"/>
        <v/>
      </c>
      <c r="O44" s="49"/>
      <c r="P44" s="49"/>
      <c r="Q44" s="49"/>
      <c r="R44" s="49"/>
      <c r="S44" t="str">
        <f>IF(J44="","",IF(J44&lt;0.1,0,IF('E-1 Passive Design'!H1108&lt;0.2,0.1,IF(J44&lt;0.3,0.2,IF(J44&lt;0.4,0.3,IF(J44&lt;0.5,0.4,IF(J44&lt;0.6,0.5,IF(J44&lt;0.7,0.6,IF(J44&lt;0.8,0.7,IF(J44&lt;0.9,0.8,0.9))))))))))</f>
        <v/>
      </c>
      <c r="T44" s="38" t="str">
        <f t="shared" si="4"/>
        <v/>
      </c>
      <c r="U44" s="38" t="e">
        <f t="shared" si="6"/>
        <v>#N/A</v>
      </c>
      <c r="V44" s="38" t="e">
        <f t="shared" si="7"/>
        <v>#N/A</v>
      </c>
      <c r="W44" s="38" t="e">
        <f t="shared" si="8"/>
        <v>#N/A</v>
      </c>
      <c r="X44" s="38" t="e">
        <f t="shared" si="9"/>
        <v>#N/A</v>
      </c>
      <c r="Y44" s="38" t="e">
        <f t="shared" si="10"/>
        <v>#N/A</v>
      </c>
      <c r="Z44" s="38">
        <f t="shared" si="5"/>
        <v>0</v>
      </c>
    </row>
    <row r="45" spans="1:29" s="38" customFormat="1" ht="16.5" customHeight="1" x14ac:dyDescent="0.25">
      <c r="A45" s="49"/>
      <c r="B45" s="446"/>
      <c r="C45" s="2416" t="s">
        <v>124</v>
      </c>
      <c r="D45" s="2417"/>
      <c r="E45" s="2416"/>
      <c r="F45" s="2417"/>
      <c r="G45" s="2416"/>
      <c r="H45" s="2417"/>
      <c r="I45" s="446"/>
      <c r="J45" s="1269" t="str">
        <f t="shared" si="0"/>
        <v/>
      </c>
      <c r="K45" s="1269" t="str">
        <f t="shared" si="1"/>
        <v/>
      </c>
      <c r="L45" s="2418" t="str">
        <f t="shared" si="2"/>
        <v/>
      </c>
      <c r="M45" s="2419"/>
      <c r="N45" s="49" t="str">
        <f t="shared" si="3"/>
        <v/>
      </c>
      <c r="O45" s="49"/>
      <c r="P45" s="49"/>
      <c r="Q45" s="49"/>
      <c r="R45" s="49"/>
      <c r="S45" t="str">
        <f>IF(J45="","",IF(J45&lt;0.1,0,IF('E-1 Passive Design'!H1109&lt;0.2,0.1,IF(J45&lt;0.3,0.2,IF(J45&lt;0.4,0.3,IF(J45&lt;0.5,0.4,IF(J45&lt;0.6,0.5,IF(J45&lt;0.7,0.6,IF(J45&lt;0.8,0.7,IF(J45&lt;0.9,0.8,0.9))))))))))</f>
        <v/>
      </c>
      <c r="T45" s="38" t="str">
        <f t="shared" si="4"/>
        <v/>
      </c>
      <c r="U45" s="38" t="e">
        <f t="shared" si="6"/>
        <v>#N/A</v>
      </c>
      <c r="V45" s="38" t="e">
        <f t="shared" si="7"/>
        <v>#N/A</v>
      </c>
      <c r="W45" s="38" t="e">
        <f t="shared" si="8"/>
        <v>#N/A</v>
      </c>
      <c r="X45" s="38" t="e">
        <f t="shared" si="9"/>
        <v>#N/A</v>
      </c>
      <c r="Y45" s="38" t="e">
        <f t="shared" si="10"/>
        <v>#N/A</v>
      </c>
      <c r="Z45" s="38">
        <f t="shared" si="5"/>
        <v>0</v>
      </c>
    </row>
    <row r="46" spans="1:29" s="38" customFormat="1" ht="16.5" customHeight="1" x14ac:dyDescent="0.25">
      <c r="A46" s="49"/>
      <c r="B46" s="1266"/>
      <c r="C46" s="2416" t="s">
        <v>124</v>
      </c>
      <c r="D46" s="2417"/>
      <c r="E46" s="2416"/>
      <c r="F46" s="2417"/>
      <c r="G46" s="2416"/>
      <c r="H46" s="2417"/>
      <c r="I46" s="1266"/>
      <c r="J46" s="464" t="str">
        <f t="shared" si="0"/>
        <v/>
      </c>
      <c r="K46" s="464" t="str">
        <f t="shared" si="1"/>
        <v/>
      </c>
      <c r="L46" s="2418" t="str">
        <f t="shared" si="2"/>
        <v/>
      </c>
      <c r="M46" s="2419"/>
      <c r="N46" s="49" t="str">
        <f t="shared" si="3"/>
        <v/>
      </c>
      <c r="O46" s="49"/>
      <c r="P46" s="49"/>
      <c r="Q46" s="49"/>
      <c r="R46" s="49"/>
      <c r="S46" t="str">
        <f>IF(J46="","",IF(J46&lt;0.1,0,IF('E-1 Passive Design'!H1110&lt;0.2,0.1,IF(J46&lt;0.3,0.2,IF(J46&lt;0.4,0.3,IF(J46&lt;0.5,0.4,IF(J46&lt;0.6,0.5,IF(J46&lt;0.7,0.6,IF(J46&lt;0.8,0.7,IF(J46&lt;0.9,0.8,0.9))))))))))</f>
        <v/>
      </c>
      <c r="T46" s="38" t="str">
        <f t="shared" si="4"/>
        <v/>
      </c>
      <c r="U46" s="38" t="e">
        <f t="shared" si="6"/>
        <v>#N/A</v>
      </c>
      <c r="V46" s="38" t="e">
        <f t="shared" si="7"/>
        <v>#N/A</v>
      </c>
      <c r="W46" s="38" t="e">
        <f t="shared" si="8"/>
        <v>#N/A</v>
      </c>
      <c r="X46" s="38" t="e">
        <f t="shared" si="9"/>
        <v>#N/A</v>
      </c>
      <c r="Y46" s="38" t="e">
        <f t="shared" si="10"/>
        <v>#N/A</v>
      </c>
      <c r="Z46" s="38">
        <f t="shared" si="5"/>
        <v>0</v>
      </c>
    </row>
    <row r="47" spans="1:29" s="38" customFormat="1" ht="16.5" customHeight="1" x14ac:dyDescent="0.25">
      <c r="A47" s="49"/>
      <c r="B47" s="1266"/>
      <c r="C47" s="2416" t="s">
        <v>124</v>
      </c>
      <c r="D47" s="2417"/>
      <c r="E47" s="2416"/>
      <c r="F47" s="2417"/>
      <c r="G47" s="2416"/>
      <c r="H47" s="2417"/>
      <c r="I47" s="1266"/>
      <c r="J47" s="464" t="str">
        <f t="shared" si="0"/>
        <v/>
      </c>
      <c r="K47" s="464" t="str">
        <f t="shared" si="1"/>
        <v/>
      </c>
      <c r="L47" s="2418" t="str">
        <f t="shared" si="2"/>
        <v/>
      </c>
      <c r="M47" s="2419"/>
      <c r="N47" s="49" t="str">
        <f t="shared" si="3"/>
        <v/>
      </c>
      <c r="O47" s="49"/>
      <c r="P47" s="49"/>
      <c r="Q47" s="49"/>
      <c r="R47" s="49"/>
      <c r="S47" t="str">
        <f>IF(J47="","",IF(J47&lt;0.1,0,IF('E-1 Passive Design'!H1111&lt;0.2,0.1,IF(J47&lt;0.3,0.2,IF(J47&lt;0.4,0.3,IF(J47&lt;0.5,0.4,IF(J47&lt;0.6,0.5,IF(J47&lt;0.7,0.6,IF(J47&lt;0.8,0.7,IF(J47&lt;0.9,0.8,0.9))))))))))</f>
        <v/>
      </c>
      <c r="T47" s="38" t="str">
        <f t="shared" si="4"/>
        <v/>
      </c>
      <c r="U47" s="38" t="e">
        <f t="shared" si="6"/>
        <v>#N/A</v>
      </c>
      <c r="V47" s="38" t="e">
        <f t="shared" si="7"/>
        <v>#N/A</v>
      </c>
      <c r="W47" s="38" t="e">
        <f t="shared" si="8"/>
        <v>#N/A</v>
      </c>
      <c r="X47" s="38" t="e">
        <f t="shared" si="9"/>
        <v>#N/A</v>
      </c>
      <c r="Y47" s="38" t="e">
        <f t="shared" si="10"/>
        <v>#N/A</v>
      </c>
      <c r="Z47" s="38">
        <f t="shared" si="5"/>
        <v>0</v>
      </c>
    </row>
    <row r="48" spans="1:29" s="38" customFormat="1" ht="16.5" customHeight="1" x14ac:dyDescent="0.25">
      <c r="A48" s="49"/>
      <c r="B48" s="446"/>
      <c r="C48" s="2416" t="s">
        <v>124</v>
      </c>
      <c r="D48" s="2417"/>
      <c r="E48" s="2416"/>
      <c r="F48" s="2417"/>
      <c r="G48" s="2416"/>
      <c r="H48" s="2417"/>
      <c r="I48" s="446"/>
      <c r="J48" s="464" t="str">
        <f t="shared" si="0"/>
        <v/>
      </c>
      <c r="K48" s="464" t="str">
        <f t="shared" si="1"/>
        <v/>
      </c>
      <c r="L48" s="2418" t="str">
        <f t="shared" si="2"/>
        <v/>
      </c>
      <c r="M48" s="2419"/>
      <c r="N48" s="49"/>
      <c r="O48" s="49"/>
      <c r="P48" s="49"/>
      <c r="Q48" s="49"/>
      <c r="R48" s="49"/>
      <c r="S48" t="str">
        <f>IF(J48="","",IF(J48&lt;0.1,0,IF('E-1 Passive Design'!H1112&lt;0.2,0.1,IF(J48&lt;0.3,0.2,IF(J48&lt;0.4,0.3,IF(J48&lt;0.5,0.4,IF(J48&lt;0.6,0.5,IF(J48&lt;0.7,0.6,IF(J48&lt;0.8,0.7,IF(J48&lt;0.9,0.8,0.9))))))))))</f>
        <v/>
      </c>
      <c r="T48" s="38" t="str">
        <f t="shared" si="4"/>
        <v/>
      </c>
      <c r="U48" s="38" t="e">
        <f t="shared" si="6"/>
        <v>#N/A</v>
      </c>
      <c r="V48" s="38" t="e">
        <f t="shared" si="7"/>
        <v>#N/A</v>
      </c>
      <c r="W48" s="38" t="e">
        <f t="shared" si="8"/>
        <v>#N/A</v>
      </c>
      <c r="X48" s="38" t="e">
        <f t="shared" si="9"/>
        <v>#N/A</v>
      </c>
      <c r="Y48" s="38" t="e">
        <f t="shared" si="10"/>
        <v>#N/A</v>
      </c>
      <c r="Z48" s="38">
        <f t="shared" si="5"/>
        <v>0</v>
      </c>
    </row>
    <row r="49" spans="1:29" s="38" customFormat="1" ht="16.5" customHeight="1" x14ac:dyDescent="0.25">
      <c r="A49" s="49"/>
      <c r="B49" s="446"/>
      <c r="C49" s="2416" t="s">
        <v>124</v>
      </c>
      <c r="D49" s="2417"/>
      <c r="E49" s="2416"/>
      <c r="F49" s="2417"/>
      <c r="G49" s="2416"/>
      <c r="H49" s="2417"/>
      <c r="I49" s="446"/>
      <c r="J49" s="464" t="str">
        <f t="shared" si="0"/>
        <v/>
      </c>
      <c r="K49" s="464" t="str">
        <f t="shared" si="1"/>
        <v/>
      </c>
      <c r="L49" s="2418" t="str">
        <f t="shared" si="2"/>
        <v/>
      </c>
      <c r="M49" s="2419"/>
      <c r="N49" s="49" t="str">
        <f>IF(K49="","",IF(K49&gt;0.1,"Unapplicable: d/H&gt;0.1",""))</f>
        <v/>
      </c>
      <c r="O49" s="49"/>
      <c r="P49" s="49"/>
      <c r="Q49" s="49"/>
      <c r="R49" s="49"/>
      <c r="S49" t="str">
        <f>IF(J49="","",IF(J49&lt;0.1,0,IF('E-1 Passive Design'!H1113&lt;0.2,0.1,IF(J49&lt;0.3,0.2,IF(J49&lt;0.4,0.3,IF(J49&lt;0.5,0.4,IF(J49&lt;0.6,0.5,IF(J49&lt;0.7,0.6,IF(J49&lt;0.8,0.7,IF(J49&lt;0.9,0.8,0.9))))))))))</f>
        <v/>
      </c>
      <c r="T49" s="38" t="str">
        <f t="shared" si="4"/>
        <v/>
      </c>
      <c r="U49" s="38" t="e">
        <f t="shared" si="6"/>
        <v>#N/A</v>
      </c>
      <c r="V49" s="38" t="e">
        <f t="shared" si="7"/>
        <v>#N/A</v>
      </c>
      <c r="W49" s="38" t="e">
        <f t="shared" si="8"/>
        <v>#N/A</v>
      </c>
      <c r="X49" s="38" t="e">
        <f t="shared" si="9"/>
        <v>#N/A</v>
      </c>
      <c r="Y49" s="38" t="e">
        <f t="shared" si="10"/>
        <v>#N/A</v>
      </c>
      <c r="Z49" s="38">
        <f t="shared" si="5"/>
        <v>0</v>
      </c>
    </row>
    <row r="50" spans="1:29" s="1283" customFormat="1" ht="15" customHeight="1" x14ac:dyDescent="0.2">
      <c r="A50" s="838"/>
      <c r="B50" s="838"/>
      <c r="C50" s="838"/>
      <c r="D50" s="838"/>
      <c r="E50" s="838"/>
      <c r="F50" s="838"/>
      <c r="G50" s="838"/>
      <c r="H50" s="838"/>
      <c r="I50" s="838"/>
      <c r="J50" s="838"/>
      <c r="K50" s="838"/>
      <c r="L50" s="838"/>
      <c r="M50" s="838"/>
      <c r="N50" s="838"/>
      <c r="O50" s="838"/>
      <c r="P50" s="838"/>
      <c r="Q50" s="838"/>
      <c r="R50" s="834"/>
      <c r="S50" s="834"/>
    </row>
    <row r="51" spans="1:29" s="1283" customFormat="1" ht="18" customHeight="1" x14ac:dyDescent="0.2">
      <c r="A51" s="315"/>
      <c r="B51" s="1300" t="s">
        <v>2451</v>
      </c>
      <c r="C51" s="834"/>
      <c r="D51" s="834"/>
      <c r="E51" s="834"/>
      <c r="F51" s="834"/>
      <c r="G51" s="834"/>
      <c r="H51" s="834"/>
      <c r="I51" s="834"/>
      <c r="J51" s="834"/>
      <c r="K51" s="834"/>
      <c r="L51" s="834"/>
      <c r="M51" s="834"/>
      <c r="N51" s="834"/>
      <c r="O51" s="834"/>
      <c r="P51" s="834"/>
      <c r="Q51" s="834"/>
      <c r="R51" s="834"/>
      <c r="S51" s="834"/>
    </row>
    <row r="52" spans="1:29" s="38" customFormat="1" ht="27.75" customHeight="1" x14ac:dyDescent="0.25">
      <c r="A52" s="49"/>
      <c r="B52" s="463" t="s">
        <v>814</v>
      </c>
      <c r="C52" s="2420" t="s">
        <v>782</v>
      </c>
      <c r="D52" s="2420"/>
      <c r="E52" s="2421" t="s">
        <v>815</v>
      </c>
      <c r="F52" s="2421"/>
      <c r="G52" s="2421" t="s">
        <v>2452</v>
      </c>
      <c r="H52" s="2421"/>
      <c r="I52" s="1288" t="s">
        <v>2453</v>
      </c>
      <c r="J52" s="1288" t="s">
        <v>2454</v>
      </c>
      <c r="K52" s="1288" t="s">
        <v>2455</v>
      </c>
      <c r="L52" s="2421" t="s">
        <v>819</v>
      </c>
      <c r="M52" s="2422"/>
      <c r="N52" s="49"/>
      <c r="O52" s="49"/>
      <c r="P52" s="49"/>
      <c r="Q52" s="49"/>
      <c r="R52" s="49"/>
      <c r="S52" s="38" t="s">
        <v>821</v>
      </c>
      <c r="T52" s="38" t="s">
        <v>822</v>
      </c>
      <c r="U52" t="s">
        <v>799</v>
      </c>
      <c r="V52" t="s">
        <v>800</v>
      </c>
      <c r="W52" t="s">
        <v>801</v>
      </c>
      <c r="X52" t="s">
        <v>823</v>
      </c>
      <c r="Y52" t="s">
        <v>824</v>
      </c>
      <c r="Z52" s="38" t="s">
        <v>825</v>
      </c>
      <c r="AA52" s="1283"/>
      <c r="AB52" s="1283"/>
      <c r="AC52" s="1283"/>
    </row>
    <row r="53" spans="1:29" s="38" customFormat="1" ht="16.5" customHeight="1" x14ac:dyDescent="0.25">
      <c r="A53" s="49"/>
      <c r="B53" s="1284"/>
      <c r="C53" s="2416" t="s">
        <v>124</v>
      </c>
      <c r="D53" s="2417"/>
      <c r="E53" s="2416"/>
      <c r="F53" s="2417"/>
      <c r="G53" s="2416"/>
      <c r="H53" s="2417"/>
      <c r="I53" s="1284"/>
      <c r="J53" s="1268" t="str">
        <f t="shared" ref="J53:J60" si="11">IFERROR(E53/G53,"")</f>
        <v/>
      </c>
      <c r="K53" s="1268" t="str">
        <f t="shared" ref="K53:K60" si="12">IFERROR(I53/G53,"")</f>
        <v/>
      </c>
      <c r="L53" s="2423" t="str">
        <f t="shared" ref="L53:L60" si="13">IFERROR(IF(K53&lt;=0.1,IF(S53=T53,AVERAGE(X53:Y53),X53+(J53-S53)*(Y53-X53)/(T53-S53)),""),"")</f>
        <v/>
      </c>
      <c r="M53" s="2424"/>
      <c r="N53" s="49" t="str">
        <f>IF(K53="","",IF(K53&gt;0.1,"Unapplicable: e/B&gt;0.1",""))</f>
        <v/>
      </c>
      <c r="O53" s="49"/>
      <c r="P53" s="49"/>
      <c r="Q53" s="49"/>
      <c r="R53" s="49"/>
      <c r="S53" t="str">
        <f>IF(J53="","",IF(J53&lt;0.1,0,IF('E-1 Passive Design'!H1117&lt;0.2,0.1,IF(J53&lt;0.3,0.2,IF(J53&lt;0.4,0.3,IF(J53&lt;0.5,0.4,IF(J53&lt;0.6,0.5,IF(J53&lt;0.7,0.6,IF(J53&lt;0.8,0.7,IF(J53&lt;0.9,0.8,0.9))))))))))</f>
        <v/>
      </c>
      <c r="T53" s="38" t="str">
        <f t="shared" ref="T53:T60" si="14">IF(J53="","",IF(J53&lt;=0.1,0.1,IF(J53&lt;=0.2,0.2,IF(J53&lt;=0.3,0.3,IF(J53&lt;=0.4,0.4,IF(J53&lt;=0.5,0.5,IF(J53&lt;=0.6,0.6,IF(J53&lt;=0.7,0.7,IF(J53&lt;=0.8,0.8,IF(J53&lt;=0.9,0.9,1))))))))))</f>
        <v/>
      </c>
      <c r="U53" s="38" t="e">
        <f>MATCH(C53,$AF$10:$AN$10,0)</f>
        <v>#N/A</v>
      </c>
      <c r="V53" s="38" t="e">
        <f>MATCH(S53,$AF$10:$AF$21,0)</f>
        <v>#N/A</v>
      </c>
      <c r="W53" s="38" t="e">
        <f>MATCH(T53,$AF$10:$AF$21,0)</f>
        <v>#N/A</v>
      </c>
      <c r="X53" s="38" t="e">
        <f>INDEX($AF$10:$AN$21,V53,U53)</f>
        <v>#N/A</v>
      </c>
      <c r="Y53" s="38" t="e">
        <f>INDEX($AF$10:$AN$21,W53,U53)</f>
        <v>#N/A</v>
      </c>
      <c r="Z53" s="38">
        <f>IFERROR(IF(K53&lt;=0.1,IF(S53=T53,AVERAGE(X53:Y53),X53+(J53-S53)*(Y53-X53)/(T53-S53)),0),0)</f>
        <v>0</v>
      </c>
    </row>
    <row r="54" spans="1:29" s="38" customFormat="1" ht="16.5" customHeight="1" x14ac:dyDescent="0.25">
      <c r="A54" s="49"/>
      <c r="B54" s="1285"/>
      <c r="C54" s="2416" t="s">
        <v>124</v>
      </c>
      <c r="D54" s="2417"/>
      <c r="E54" s="2416"/>
      <c r="F54" s="2417"/>
      <c r="G54" s="2416"/>
      <c r="H54" s="2417"/>
      <c r="I54" s="1285"/>
      <c r="J54" s="1269" t="str">
        <f t="shared" si="11"/>
        <v/>
      </c>
      <c r="K54" s="1269" t="str">
        <f t="shared" si="12"/>
        <v/>
      </c>
      <c r="L54" s="2418" t="str">
        <f t="shared" si="13"/>
        <v/>
      </c>
      <c r="M54" s="2419"/>
      <c r="N54" s="49" t="str">
        <f t="shared" ref="N54:N60" si="15">IF(K54="","",IF(K54&gt;0.1,"Unapplicable: e/B&gt;0.1",""))</f>
        <v/>
      </c>
      <c r="O54" s="49"/>
      <c r="P54" s="49"/>
      <c r="Q54" s="49"/>
      <c r="R54" s="49"/>
      <c r="S54" t="str">
        <f>IF(J54="","",IF(J54&lt;0.1,0,IF('E-1 Passive Design'!H1118&lt;0.2,0.1,IF(J54&lt;0.3,0.2,IF(J54&lt;0.4,0.3,IF(J54&lt;0.5,0.4,IF(J54&lt;0.6,0.5,IF(J54&lt;0.7,0.6,IF(J54&lt;0.8,0.7,IF(J54&lt;0.9,0.8,0.9))))))))))</f>
        <v/>
      </c>
      <c r="T54" s="38" t="str">
        <f t="shared" si="14"/>
        <v/>
      </c>
      <c r="U54" s="38" t="e">
        <f>MATCH(C54,$AF$10:$AN$10,0)</f>
        <v>#N/A</v>
      </c>
      <c r="V54" s="38" t="e">
        <f t="shared" ref="V54:V60" si="16">MATCH(S54,$AF$10:$AF$21,0)</f>
        <v>#N/A</v>
      </c>
      <c r="W54" s="38" t="e">
        <f t="shared" ref="W54:W60" si="17">MATCH(T54,$AF$10:$AF$21,0)</f>
        <v>#N/A</v>
      </c>
      <c r="X54" s="38" t="e">
        <f t="shared" ref="X54:X60" si="18">INDEX($AF$10:$AN$21,V54,U54)</f>
        <v>#N/A</v>
      </c>
      <c r="Y54" s="38" t="e">
        <f t="shared" ref="Y54:Y60" si="19">INDEX($AF$10:$AN$21,W54,U54)</f>
        <v>#N/A</v>
      </c>
      <c r="Z54" s="38">
        <f t="shared" ref="Z54:Z60" si="20">IFERROR(IF(K54&lt;=0.1,IF(S54=T54,AVERAGE(X54:Y54),X54+(J54-S54)*(Y54-X54)/(T54-S54)),0),0)</f>
        <v>0</v>
      </c>
    </row>
    <row r="55" spans="1:29" s="38" customFormat="1" ht="16.5" customHeight="1" x14ac:dyDescent="0.25">
      <c r="A55" s="49"/>
      <c r="B55" s="1285"/>
      <c r="C55" s="2416" t="s">
        <v>124</v>
      </c>
      <c r="D55" s="2417"/>
      <c r="E55" s="2416"/>
      <c r="F55" s="2417"/>
      <c r="G55" s="2416"/>
      <c r="H55" s="2417"/>
      <c r="I55" s="1285"/>
      <c r="J55" s="1269" t="str">
        <f t="shared" si="11"/>
        <v/>
      </c>
      <c r="K55" s="1269" t="str">
        <f t="shared" si="12"/>
        <v/>
      </c>
      <c r="L55" s="2418" t="str">
        <f t="shared" si="13"/>
        <v/>
      </c>
      <c r="M55" s="2419"/>
      <c r="N55" s="49" t="str">
        <f t="shared" si="15"/>
        <v/>
      </c>
      <c r="O55" s="49"/>
      <c r="P55" s="49"/>
      <c r="Q55" s="49"/>
      <c r="R55" s="49"/>
      <c r="S55" t="str">
        <f>IF(J55="","",IF(J55&lt;0.1,0,IF('E-1 Passive Design'!H1119&lt;0.2,0.1,IF(J55&lt;0.3,0.2,IF(J55&lt;0.4,0.3,IF(J55&lt;0.5,0.4,IF(J55&lt;0.6,0.5,IF(J55&lt;0.7,0.6,IF(J55&lt;0.8,0.7,IF(J55&lt;0.9,0.8,0.9))))))))))</f>
        <v/>
      </c>
      <c r="T55" s="38" t="str">
        <f t="shared" si="14"/>
        <v/>
      </c>
      <c r="U55" s="38" t="e">
        <f t="shared" ref="U55:U60" si="21">MATCH(C55,$AF$10:$AN$10,0)</f>
        <v>#N/A</v>
      </c>
      <c r="V55" s="38" t="e">
        <f t="shared" si="16"/>
        <v>#N/A</v>
      </c>
      <c r="W55" s="38" t="e">
        <f t="shared" si="17"/>
        <v>#N/A</v>
      </c>
      <c r="X55" s="38" t="e">
        <f t="shared" si="18"/>
        <v>#N/A</v>
      </c>
      <c r="Y55" s="38" t="e">
        <f t="shared" si="19"/>
        <v>#N/A</v>
      </c>
      <c r="Z55" s="38">
        <f t="shared" si="20"/>
        <v>0</v>
      </c>
    </row>
    <row r="56" spans="1:29" s="38" customFormat="1" ht="16.5" customHeight="1" x14ac:dyDescent="0.25">
      <c r="A56" s="49"/>
      <c r="B56" s="1285"/>
      <c r="C56" s="2416" t="s">
        <v>124</v>
      </c>
      <c r="D56" s="2417"/>
      <c r="E56" s="2416"/>
      <c r="F56" s="2417"/>
      <c r="G56" s="2416"/>
      <c r="H56" s="2417"/>
      <c r="I56" s="1285"/>
      <c r="J56" s="1269" t="str">
        <f t="shared" si="11"/>
        <v/>
      </c>
      <c r="K56" s="1269" t="str">
        <f t="shared" si="12"/>
        <v/>
      </c>
      <c r="L56" s="2418" t="str">
        <f t="shared" si="13"/>
        <v/>
      </c>
      <c r="M56" s="2419"/>
      <c r="N56" s="49" t="str">
        <f t="shared" si="15"/>
        <v/>
      </c>
      <c r="O56" s="49"/>
      <c r="P56" s="49"/>
      <c r="Q56" s="49"/>
      <c r="R56" s="49"/>
      <c r="S56" t="str">
        <f>IF(J56="","",IF(J56&lt;0.1,0,IF('E-1 Passive Design'!H1120&lt;0.2,0.1,IF(J56&lt;0.3,0.2,IF(J56&lt;0.4,0.3,IF(J56&lt;0.5,0.4,IF(J56&lt;0.6,0.5,IF(J56&lt;0.7,0.6,IF(J56&lt;0.8,0.7,IF(J56&lt;0.9,0.8,0.9))))))))))</f>
        <v/>
      </c>
      <c r="T56" s="38" t="str">
        <f t="shared" si="14"/>
        <v/>
      </c>
      <c r="U56" s="38" t="e">
        <f t="shared" si="21"/>
        <v>#N/A</v>
      </c>
      <c r="V56" s="38" t="e">
        <f t="shared" si="16"/>
        <v>#N/A</v>
      </c>
      <c r="W56" s="38" t="e">
        <f t="shared" si="17"/>
        <v>#N/A</v>
      </c>
      <c r="X56" s="38" t="e">
        <f t="shared" si="18"/>
        <v>#N/A</v>
      </c>
      <c r="Y56" s="38" t="e">
        <f t="shared" si="19"/>
        <v>#N/A</v>
      </c>
      <c r="Z56" s="38">
        <f t="shared" si="20"/>
        <v>0</v>
      </c>
    </row>
    <row r="57" spans="1:29" s="38" customFormat="1" ht="16.5" customHeight="1" x14ac:dyDescent="0.25">
      <c r="A57" s="49"/>
      <c r="B57" s="1285"/>
      <c r="C57" s="2416" t="s">
        <v>124</v>
      </c>
      <c r="D57" s="2417"/>
      <c r="E57" s="2416"/>
      <c r="F57" s="2417"/>
      <c r="G57" s="2416"/>
      <c r="H57" s="2417"/>
      <c r="I57" s="1285"/>
      <c r="J57" s="464" t="str">
        <f t="shared" si="11"/>
        <v/>
      </c>
      <c r="K57" s="464" t="str">
        <f t="shared" si="12"/>
        <v/>
      </c>
      <c r="L57" s="2418" t="str">
        <f t="shared" si="13"/>
        <v/>
      </c>
      <c r="M57" s="2419"/>
      <c r="N57" s="49" t="str">
        <f t="shared" si="15"/>
        <v/>
      </c>
      <c r="O57" s="49"/>
      <c r="P57" s="49"/>
      <c r="Q57" s="49"/>
      <c r="R57" s="49"/>
      <c r="S57" t="str">
        <f>IF(J57="","",IF(J57&lt;0.1,0,IF('E-1 Passive Design'!H1121&lt;0.2,0.1,IF(J57&lt;0.3,0.2,IF(J57&lt;0.4,0.3,IF(J57&lt;0.5,0.4,IF(J57&lt;0.6,0.5,IF(J57&lt;0.7,0.6,IF(J57&lt;0.8,0.7,IF(J57&lt;0.9,0.8,0.9))))))))))</f>
        <v/>
      </c>
      <c r="T57" s="38" t="str">
        <f t="shared" si="14"/>
        <v/>
      </c>
      <c r="U57" s="38" t="e">
        <f t="shared" si="21"/>
        <v>#N/A</v>
      </c>
      <c r="V57" s="38" t="e">
        <f t="shared" si="16"/>
        <v>#N/A</v>
      </c>
      <c r="W57" s="38" t="e">
        <f t="shared" si="17"/>
        <v>#N/A</v>
      </c>
      <c r="X57" s="38" t="e">
        <f t="shared" si="18"/>
        <v>#N/A</v>
      </c>
      <c r="Y57" s="38" t="e">
        <f t="shared" si="19"/>
        <v>#N/A</v>
      </c>
      <c r="Z57" s="38">
        <f t="shared" si="20"/>
        <v>0</v>
      </c>
    </row>
    <row r="58" spans="1:29" s="38" customFormat="1" ht="16.5" customHeight="1" x14ac:dyDescent="0.25">
      <c r="A58" s="49"/>
      <c r="B58" s="1285"/>
      <c r="C58" s="2416" t="s">
        <v>124</v>
      </c>
      <c r="D58" s="2417"/>
      <c r="E58" s="2416"/>
      <c r="F58" s="2417"/>
      <c r="G58" s="2416"/>
      <c r="H58" s="2417"/>
      <c r="I58" s="1285"/>
      <c r="J58" s="464" t="str">
        <f t="shared" si="11"/>
        <v/>
      </c>
      <c r="K58" s="464" t="str">
        <f t="shared" si="12"/>
        <v/>
      </c>
      <c r="L58" s="2418" t="str">
        <f t="shared" si="13"/>
        <v/>
      </c>
      <c r="M58" s="2419"/>
      <c r="N58" s="49" t="str">
        <f t="shared" si="15"/>
        <v/>
      </c>
      <c r="O58" s="49"/>
      <c r="P58" s="49"/>
      <c r="Q58" s="49"/>
      <c r="R58" s="49"/>
      <c r="S58" t="str">
        <f>IF(J58="","",IF(J58&lt;0.1,0,IF('E-1 Passive Design'!H1122&lt;0.2,0.1,IF(J58&lt;0.3,0.2,IF(J58&lt;0.4,0.3,IF(J58&lt;0.5,0.4,IF(J58&lt;0.6,0.5,IF(J58&lt;0.7,0.6,IF(J58&lt;0.8,0.7,IF(J58&lt;0.9,0.8,0.9))))))))))</f>
        <v/>
      </c>
      <c r="T58" s="38" t="str">
        <f t="shared" si="14"/>
        <v/>
      </c>
      <c r="U58" s="38" t="e">
        <f t="shared" si="21"/>
        <v>#N/A</v>
      </c>
      <c r="V58" s="38" t="e">
        <f t="shared" si="16"/>
        <v>#N/A</v>
      </c>
      <c r="W58" s="38" t="e">
        <f t="shared" si="17"/>
        <v>#N/A</v>
      </c>
      <c r="X58" s="38" t="e">
        <f t="shared" si="18"/>
        <v>#N/A</v>
      </c>
      <c r="Y58" s="38" t="e">
        <f t="shared" si="19"/>
        <v>#N/A</v>
      </c>
      <c r="Z58" s="38">
        <f t="shared" si="20"/>
        <v>0</v>
      </c>
    </row>
    <row r="59" spans="1:29" s="38" customFormat="1" ht="16.5" customHeight="1" x14ac:dyDescent="0.25">
      <c r="A59" s="49"/>
      <c r="B59" s="1285"/>
      <c r="C59" s="2416" t="s">
        <v>124</v>
      </c>
      <c r="D59" s="2417"/>
      <c r="E59" s="2416"/>
      <c r="F59" s="2417"/>
      <c r="G59" s="2416"/>
      <c r="H59" s="2417"/>
      <c r="I59" s="1285"/>
      <c r="J59" s="464" t="str">
        <f t="shared" si="11"/>
        <v/>
      </c>
      <c r="K59" s="464" t="str">
        <f t="shared" si="12"/>
        <v/>
      </c>
      <c r="L59" s="2418" t="str">
        <f t="shared" si="13"/>
        <v/>
      </c>
      <c r="M59" s="2419"/>
      <c r="N59" s="49" t="str">
        <f t="shared" si="15"/>
        <v/>
      </c>
      <c r="O59" s="49"/>
      <c r="P59" s="49"/>
      <c r="Q59" s="49"/>
      <c r="R59" s="49"/>
      <c r="S59" t="str">
        <f>IF(J59="","",IF(J59&lt;0.1,0,IF('E-1 Passive Design'!H1123&lt;0.2,0.1,IF(J59&lt;0.3,0.2,IF(J59&lt;0.4,0.3,IF(J59&lt;0.5,0.4,IF(J59&lt;0.6,0.5,IF(J59&lt;0.7,0.6,IF(J59&lt;0.8,0.7,IF(J59&lt;0.9,0.8,0.9))))))))))</f>
        <v/>
      </c>
      <c r="T59" s="38" t="str">
        <f t="shared" si="14"/>
        <v/>
      </c>
      <c r="U59" s="38" t="e">
        <f t="shared" si="21"/>
        <v>#N/A</v>
      </c>
      <c r="V59" s="38" t="e">
        <f t="shared" si="16"/>
        <v>#N/A</v>
      </c>
      <c r="W59" s="38" t="e">
        <f t="shared" si="17"/>
        <v>#N/A</v>
      </c>
      <c r="X59" s="38" t="e">
        <f t="shared" si="18"/>
        <v>#N/A</v>
      </c>
      <c r="Y59" s="38" t="e">
        <f t="shared" si="19"/>
        <v>#N/A</v>
      </c>
      <c r="Z59" s="38">
        <f t="shared" si="20"/>
        <v>0</v>
      </c>
    </row>
    <row r="60" spans="1:29" s="38" customFormat="1" ht="16.5" customHeight="1" x14ac:dyDescent="0.25">
      <c r="A60" s="49"/>
      <c r="B60" s="1285"/>
      <c r="C60" s="2416" t="s">
        <v>124</v>
      </c>
      <c r="D60" s="2417"/>
      <c r="E60" s="2416"/>
      <c r="F60" s="2417"/>
      <c r="G60" s="2416"/>
      <c r="H60" s="2417"/>
      <c r="I60" s="1285"/>
      <c r="J60" s="464" t="str">
        <f t="shared" si="11"/>
        <v/>
      </c>
      <c r="K60" s="464" t="str">
        <f t="shared" si="12"/>
        <v/>
      </c>
      <c r="L60" s="2418" t="str">
        <f t="shared" si="13"/>
        <v/>
      </c>
      <c r="M60" s="2419"/>
      <c r="N60" s="49" t="str">
        <f t="shared" si="15"/>
        <v/>
      </c>
      <c r="O60" s="49"/>
      <c r="P60" s="49"/>
      <c r="Q60" s="49"/>
      <c r="R60" s="49"/>
      <c r="S60" t="str">
        <f>IF(J60="","",IF(J60&lt;0.1,0,IF('E-1 Passive Design'!H1124&lt;0.2,0.1,IF(J60&lt;0.3,0.2,IF(J60&lt;0.4,0.3,IF(J60&lt;0.5,0.4,IF(J60&lt;0.6,0.5,IF(J60&lt;0.7,0.6,IF(J60&lt;0.8,0.7,IF(J60&lt;0.9,0.8,0.9))))))))))</f>
        <v/>
      </c>
      <c r="T60" s="38" t="str">
        <f t="shared" si="14"/>
        <v/>
      </c>
      <c r="U60" s="38" t="e">
        <f t="shared" si="21"/>
        <v>#N/A</v>
      </c>
      <c r="V60" s="38" t="e">
        <f t="shared" si="16"/>
        <v>#N/A</v>
      </c>
      <c r="W60" s="38" t="e">
        <f t="shared" si="17"/>
        <v>#N/A</v>
      </c>
      <c r="X60" s="38" t="e">
        <f t="shared" si="18"/>
        <v>#N/A</v>
      </c>
      <c r="Y60" s="38" t="e">
        <f t="shared" si="19"/>
        <v>#N/A</v>
      </c>
      <c r="Z60" s="38">
        <f t="shared" si="20"/>
        <v>0</v>
      </c>
    </row>
    <row r="61" spans="1:29" s="1283" customFormat="1" ht="19.5" customHeight="1" x14ac:dyDescent="0.2">
      <c r="A61" s="835"/>
      <c r="B61" s="835"/>
      <c r="C61" s="835"/>
      <c r="D61" s="835"/>
      <c r="E61" s="835"/>
      <c r="F61" s="835"/>
      <c r="G61" s="835"/>
      <c r="H61" s="835"/>
      <c r="I61" s="835"/>
      <c r="J61" s="835"/>
      <c r="K61" s="835"/>
      <c r="L61" s="835"/>
      <c r="M61" s="835"/>
      <c r="N61" s="835"/>
      <c r="O61" s="835"/>
      <c r="P61" s="835"/>
      <c r="Q61" s="835"/>
      <c r="R61" s="835"/>
    </row>
    <row r="62" spans="1:29" s="1301" customFormat="1" ht="23.25" customHeight="1" x14ac:dyDescent="0.2">
      <c r="A62" s="2415" t="s">
        <v>2470</v>
      </c>
      <c r="B62" s="2415"/>
      <c r="C62" s="2415"/>
      <c r="D62" s="2415"/>
      <c r="E62" s="2415"/>
      <c r="F62" s="2415"/>
      <c r="G62" s="1"/>
      <c r="H62" s="1"/>
      <c r="I62" s="1"/>
      <c r="J62" s="1"/>
      <c r="K62" s="1"/>
      <c r="L62" s="1"/>
      <c r="M62" s="1"/>
      <c r="N62" s="1"/>
      <c r="O62" s="1"/>
      <c r="P62" s="1"/>
      <c r="Q62" s="1"/>
      <c r="R62" s="49"/>
    </row>
    <row r="63" spans="1:29" s="1301" customFormat="1" ht="20.25" customHeight="1" x14ac:dyDescent="0.2">
      <c r="A63" s="315"/>
      <c r="B63" s="315"/>
      <c r="C63" s="315"/>
      <c r="D63" s="1"/>
      <c r="E63" s="1"/>
      <c r="F63" s="1"/>
      <c r="G63" s="1"/>
      <c r="H63" s="1"/>
      <c r="I63" s="1"/>
      <c r="J63" s="1"/>
      <c r="K63" s="1"/>
      <c r="L63" s="1"/>
      <c r="M63" s="1"/>
      <c r="N63" s="1"/>
      <c r="O63" s="1"/>
      <c r="P63" s="1"/>
      <c r="Q63" s="1"/>
      <c r="R63" s="49"/>
    </row>
    <row r="64" spans="1:29" s="1301" customFormat="1" ht="20.25" customHeight="1" x14ac:dyDescent="0.2">
      <c r="A64" s="315"/>
      <c r="B64" s="2410" t="s">
        <v>2471</v>
      </c>
      <c r="C64" s="2410"/>
      <c r="D64" s="2410"/>
      <c r="E64" s="2410"/>
      <c r="F64" s="2410"/>
      <c r="G64" s="2410"/>
      <c r="H64" s="2410"/>
      <c r="I64" s="2410"/>
      <c r="J64" s="1"/>
      <c r="K64" s="1"/>
      <c r="L64" s="1"/>
      <c r="M64" s="1"/>
      <c r="N64" s="1"/>
      <c r="O64" s="1"/>
      <c r="P64" s="1"/>
      <c r="Q64" s="1"/>
      <c r="R64" s="476"/>
    </row>
    <row r="65" spans="1:19" s="1301" customFormat="1" ht="18" customHeight="1" x14ac:dyDescent="0.2">
      <c r="A65" s="315"/>
      <c r="B65" s="2411" t="s">
        <v>1224</v>
      </c>
      <c r="C65" s="2411"/>
      <c r="D65" s="2411" t="s">
        <v>2472</v>
      </c>
      <c r="E65" s="2411"/>
      <c r="F65" s="2411"/>
      <c r="G65" s="2411"/>
      <c r="H65" s="2411" t="s">
        <v>2473</v>
      </c>
      <c r="I65" s="2411"/>
      <c r="J65" s="1"/>
      <c r="K65" s="1"/>
      <c r="L65" s="1"/>
      <c r="M65" s="1"/>
      <c r="N65" s="1"/>
      <c r="O65" s="1"/>
      <c r="P65" s="1"/>
      <c r="Q65" s="1"/>
      <c r="R65" s="1"/>
    </row>
    <row r="66" spans="1:19" s="1301" customFormat="1" ht="18" customHeight="1" x14ac:dyDescent="0.2">
      <c r="A66" s="315"/>
      <c r="B66" s="2405"/>
      <c r="C66" s="2405"/>
      <c r="D66" s="2405" t="s">
        <v>2474</v>
      </c>
      <c r="E66" s="2405"/>
      <c r="F66" s="2405" t="s">
        <v>2475</v>
      </c>
      <c r="G66" s="2405"/>
      <c r="H66" s="2405"/>
      <c r="I66" s="2405"/>
      <c r="J66" s="1"/>
      <c r="K66" s="1"/>
      <c r="L66" s="1"/>
      <c r="M66" s="1"/>
      <c r="N66" s="1"/>
      <c r="O66" s="1"/>
      <c r="P66" s="1"/>
      <c r="Q66" s="1"/>
      <c r="R66" s="1"/>
    </row>
    <row r="67" spans="1:19" s="1301" customFormat="1" ht="27" customHeight="1" x14ac:dyDescent="0.2">
      <c r="A67" s="315"/>
      <c r="B67" s="2402" t="s">
        <v>2476</v>
      </c>
      <c r="C67" s="2402"/>
      <c r="D67" s="2402">
        <v>3</v>
      </c>
      <c r="E67" s="2402"/>
      <c r="F67" s="2402">
        <v>0.5</v>
      </c>
      <c r="G67" s="2402"/>
      <c r="H67" s="2402" t="s">
        <v>895</v>
      </c>
      <c r="I67" s="2402"/>
      <c r="J67" s="1"/>
      <c r="K67" s="1"/>
      <c r="L67" s="1"/>
      <c r="M67" s="1"/>
      <c r="N67" s="1"/>
      <c r="O67" s="1"/>
      <c r="P67" s="1"/>
      <c r="Q67" s="1"/>
      <c r="R67" s="1"/>
    </row>
    <row r="68" spans="1:19" s="1301" customFormat="1" ht="12" customHeight="1" x14ac:dyDescent="0.2">
      <c r="A68" s="315"/>
      <c r="B68" s="2402" t="s">
        <v>2477</v>
      </c>
      <c r="C68" s="2402"/>
      <c r="D68" s="2413" t="s">
        <v>2478</v>
      </c>
      <c r="E68" s="2413"/>
      <c r="F68" s="2413" t="s">
        <v>2479</v>
      </c>
      <c r="G68" s="2413"/>
      <c r="H68" s="2402" t="s">
        <v>895</v>
      </c>
      <c r="I68" s="2402"/>
      <c r="J68" s="1"/>
      <c r="K68" s="1"/>
      <c r="L68" s="1"/>
      <c r="M68" s="1"/>
      <c r="N68" s="1"/>
      <c r="O68" s="1"/>
      <c r="P68" s="1"/>
      <c r="Q68" s="1"/>
      <c r="R68" s="1"/>
    </row>
    <row r="69" spans="1:19" s="1301" customFormat="1" ht="12" customHeight="1" x14ac:dyDescent="0.2">
      <c r="A69" s="315"/>
      <c r="B69" s="2402"/>
      <c r="C69" s="2402"/>
      <c r="D69" s="2414" t="s">
        <v>2480</v>
      </c>
      <c r="E69" s="2414"/>
      <c r="F69" s="2414" t="s">
        <v>2481</v>
      </c>
      <c r="G69" s="2414"/>
      <c r="H69" s="2402"/>
      <c r="I69" s="2402"/>
      <c r="J69" s="1"/>
      <c r="K69" s="1"/>
      <c r="L69" s="1"/>
      <c r="M69" s="1"/>
      <c r="N69" s="1"/>
      <c r="O69" s="1"/>
      <c r="P69" s="1"/>
      <c r="Q69" s="1"/>
      <c r="R69" s="1"/>
    </row>
    <row r="70" spans="1:19" s="1301" customFormat="1" ht="25.5" customHeight="1" x14ac:dyDescent="0.2">
      <c r="A70" s="315"/>
      <c r="B70" s="2402" t="s">
        <v>2482</v>
      </c>
      <c r="C70" s="2402"/>
      <c r="D70" s="2402">
        <v>1</v>
      </c>
      <c r="E70" s="2402"/>
      <c r="F70" s="2402">
        <v>0.1</v>
      </c>
      <c r="G70" s="2402"/>
      <c r="H70" s="2402" t="s">
        <v>895</v>
      </c>
      <c r="I70" s="2402"/>
      <c r="J70" s="1"/>
      <c r="K70" s="1"/>
      <c r="L70" s="1"/>
      <c r="M70" s="1"/>
      <c r="N70" s="1"/>
      <c r="O70" s="1"/>
      <c r="P70" s="1"/>
      <c r="Q70" s="1"/>
      <c r="R70" s="1"/>
    </row>
    <row r="71" spans="1:19" s="1301" customFormat="1" ht="18" customHeight="1" x14ac:dyDescent="0.2">
      <c r="A71" s="315"/>
      <c r="B71" s="2402" t="s">
        <v>2483</v>
      </c>
      <c r="C71" s="2402"/>
      <c r="D71" s="2402" t="s">
        <v>2484</v>
      </c>
      <c r="E71" s="2402"/>
      <c r="F71" s="2402" t="s">
        <v>2485</v>
      </c>
      <c r="G71" s="2402"/>
      <c r="H71" s="2402" t="s">
        <v>895</v>
      </c>
      <c r="I71" s="2402"/>
      <c r="J71" s="1"/>
      <c r="K71" s="1"/>
      <c r="L71" s="1"/>
      <c r="M71" s="1"/>
      <c r="N71" s="1"/>
      <c r="O71" s="1"/>
      <c r="P71" s="1"/>
      <c r="Q71" s="1"/>
      <c r="R71" s="1"/>
    </row>
    <row r="72" spans="1:19" s="1301" customFormat="1" ht="18" customHeight="1" x14ac:dyDescent="0.2">
      <c r="A72" s="315"/>
      <c r="B72" s="2402" t="s">
        <v>2486</v>
      </c>
      <c r="C72" s="2402"/>
      <c r="D72" s="2402">
        <v>2</v>
      </c>
      <c r="E72" s="2402"/>
      <c r="F72" s="2402">
        <v>0.4</v>
      </c>
      <c r="G72" s="2402"/>
      <c r="H72" s="2402" t="s">
        <v>895</v>
      </c>
      <c r="I72" s="2402"/>
      <c r="J72" s="1"/>
      <c r="K72" s="1"/>
      <c r="L72" s="1"/>
      <c r="M72" s="1"/>
      <c r="N72" s="1"/>
      <c r="O72" s="1"/>
      <c r="P72" s="1"/>
      <c r="Q72" s="1"/>
      <c r="R72" s="1"/>
    </row>
    <row r="73" spans="1:19" s="1301" customFormat="1" ht="27" customHeight="1" x14ac:dyDescent="0.2">
      <c r="A73" s="315"/>
      <c r="B73" s="2402" t="s">
        <v>1226</v>
      </c>
      <c r="C73" s="2402"/>
      <c r="D73" s="2402">
        <v>3</v>
      </c>
      <c r="E73" s="2402"/>
      <c r="F73" s="2402">
        <v>0.5</v>
      </c>
      <c r="G73" s="2402"/>
      <c r="H73" s="2402" t="s">
        <v>2487</v>
      </c>
      <c r="I73" s="2402"/>
      <c r="J73" s="1"/>
      <c r="K73" s="1"/>
      <c r="L73" s="1"/>
      <c r="M73" s="1"/>
      <c r="N73" s="1"/>
      <c r="O73" s="1"/>
      <c r="P73" s="1"/>
      <c r="Q73" s="1"/>
      <c r="R73" s="1"/>
    </row>
    <row r="74" spans="1:19" s="1301" customFormat="1" ht="18" customHeight="1" x14ac:dyDescent="0.2">
      <c r="A74" s="315"/>
      <c r="B74" s="2402" t="s">
        <v>1227</v>
      </c>
      <c r="C74" s="2402"/>
      <c r="D74" s="2402">
        <v>0.1</v>
      </c>
      <c r="E74" s="2402"/>
      <c r="F74" s="2402">
        <v>0</v>
      </c>
      <c r="G74" s="2402"/>
      <c r="H74" s="2402" t="s">
        <v>2488</v>
      </c>
      <c r="I74" s="2402"/>
      <c r="J74" s="1"/>
      <c r="K74" s="1"/>
      <c r="L74" s="1"/>
      <c r="M74" s="1"/>
      <c r="N74" s="1"/>
      <c r="O74" s="1"/>
      <c r="P74" s="1"/>
      <c r="Q74" s="1"/>
      <c r="R74" s="1"/>
    </row>
    <row r="75" spans="1:19" s="1301" customFormat="1" ht="18" customHeight="1" x14ac:dyDescent="0.2">
      <c r="A75" s="315"/>
      <c r="B75" s="2402" t="s">
        <v>1228</v>
      </c>
      <c r="C75" s="2402"/>
      <c r="D75" s="2402">
        <v>1</v>
      </c>
      <c r="E75" s="2402"/>
      <c r="F75" s="2402">
        <v>0</v>
      </c>
      <c r="G75" s="2402"/>
      <c r="H75" s="2402" t="s">
        <v>2489</v>
      </c>
      <c r="I75" s="2402"/>
      <c r="J75" s="1"/>
      <c r="K75" s="1"/>
      <c r="L75" s="1"/>
      <c r="M75" s="1"/>
      <c r="N75" s="1"/>
      <c r="O75" s="1"/>
      <c r="P75" s="1"/>
      <c r="Q75" s="1"/>
      <c r="R75" s="1"/>
    </row>
    <row r="76" spans="1:19" s="1301" customFormat="1" ht="18" customHeight="1" x14ac:dyDescent="0.2">
      <c r="A76" s="315"/>
      <c r="B76" s="1307" t="s">
        <v>2490</v>
      </c>
      <c r="C76" s="315"/>
      <c r="D76" s="1"/>
      <c r="E76" s="1"/>
      <c r="F76" s="1"/>
      <c r="G76" s="1"/>
      <c r="H76" s="1"/>
      <c r="I76" s="1"/>
      <c r="J76" s="1"/>
      <c r="K76" s="1"/>
      <c r="L76" s="1"/>
      <c r="M76" s="1"/>
      <c r="N76" s="1"/>
      <c r="O76" s="1"/>
      <c r="P76" s="1"/>
      <c r="Q76" s="1"/>
      <c r="R76" s="476"/>
    </row>
    <row r="77" spans="1:19" s="1301" customFormat="1" ht="18" customHeight="1" x14ac:dyDescent="0.2">
      <c r="A77" s="315"/>
      <c r="B77" s="1307"/>
      <c r="C77" s="315"/>
      <c r="D77" s="1"/>
      <c r="E77" s="1"/>
      <c r="F77" s="1"/>
      <c r="G77" s="1"/>
      <c r="H77" s="1"/>
      <c r="I77" s="1"/>
      <c r="J77" s="1"/>
      <c r="K77" s="1"/>
      <c r="L77" s="1"/>
      <c r="M77" s="1"/>
      <c r="N77" s="1"/>
      <c r="O77" s="1"/>
      <c r="P77" s="1"/>
      <c r="Q77" s="1"/>
      <c r="R77" s="476"/>
    </row>
    <row r="78" spans="1:19" s="1301" customFormat="1" ht="18" customHeight="1" x14ac:dyDescent="0.2">
      <c r="A78" s="315"/>
      <c r="B78" s="2410" t="s">
        <v>2491</v>
      </c>
      <c r="C78" s="2410"/>
      <c r="D78" s="2410"/>
      <c r="E78" s="2410"/>
      <c r="F78" s="2410"/>
      <c r="G78" s="2410"/>
      <c r="H78" s="2410"/>
      <c r="I78" s="2410"/>
      <c r="J78" s="2410"/>
      <c r="K78" s="2410"/>
      <c r="L78" s="1"/>
      <c r="M78" s="1"/>
      <c r="N78" s="1"/>
      <c r="O78" s="1"/>
      <c r="P78" s="1"/>
      <c r="Q78" s="1"/>
      <c r="R78" s="476"/>
    </row>
    <row r="79" spans="1:19" s="1301" customFormat="1" ht="18" customHeight="1" x14ac:dyDescent="0.2">
      <c r="A79" s="315"/>
      <c r="B79" s="2411" t="s">
        <v>1224</v>
      </c>
      <c r="C79" s="2411"/>
      <c r="D79" s="2411" t="s">
        <v>2472</v>
      </c>
      <c r="E79" s="2411"/>
      <c r="F79" s="2411"/>
      <c r="G79" s="2411"/>
      <c r="H79" s="2411"/>
      <c r="I79" s="2411"/>
      <c r="J79" s="2411" t="s">
        <v>2473</v>
      </c>
      <c r="K79" s="2411"/>
      <c r="L79" s="1"/>
      <c r="M79" s="1"/>
      <c r="N79" s="1"/>
      <c r="O79" s="1"/>
      <c r="P79" s="1"/>
      <c r="Q79" s="1"/>
      <c r="R79" s="1"/>
      <c r="S79" s="15"/>
    </row>
    <row r="80" spans="1:19" s="1301" customFormat="1" ht="24.75" customHeight="1" x14ac:dyDescent="0.2">
      <c r="A80" s="315"/>
      <c r="B80" s="2405"/>
      <c r="C80" s="2405"/>
      <c r="D80" s="2405" t="s">
        <v>2492</v>
      </c>
      <c r="E80" s="2405"/>
      <c r="F80" s="2405" t="s">
        <v>2474</v>
      </c>
      <c r="G80" s="2405"/>
      <c r="H80" s="2412" t="s">
        <v>2475</v>
      </c>
      <c r="I80" s="2412"/>
      <c r="J80" s="2405"/>
      <c r="K80" s="2405"/>
      <c r="L80" s="1"/>
      <c r="M80" s="1"/>
      <c r="N80" s="1"/>
      <c r="O80" s="1"/>
      <c r="P80" s="1"/>
      <c r="Q80" s="1"/>
      <c r="R80" s="1"/>
      <c r="S80" s="15"/>
    </row>
    <row r="81" spans="1:19" s="1301" customFormat="1" ht="18" customHeight="1" x14ac:dyDescent="0.2">
      <c r="A81" s="315"/>
      <c r="B81" s="2402" t="s">
        <v>2476</v>
      </c>
      <c r="C81" s="2402"/>
      <c r="D81" s="2402">
        <v>4</v>
      </c>
      <c r="E81" s="2402"/>
      <c r="F81" s="2402">
        <v>3</v>
      </c>
      <c r="G81" s="2402"/>
      <c r="H81" s="2402">
        <v>0.5</v>
      </c>
      <c r="I81" s="2402"/>
      <c r="J81" s="2402" t="s">
        <v>895</v>
      </c>
      <c r="K81" s="2402"/>
      <c r="L81" s="1"/>
      <c r="M81" s="1"/>
      <c r="N81" s="1"/>
      <c r="O81" s="1"/>
      <c r="P81" s="1"/>
      <c r="Q81" s="1"/>
      <c r="R81" s="1"/>
      <c r="S81" s="15"/>
    </row>
    <row r="82" spans="1:19" s="1301" customFormat="1" ht="13.5" customHeight="1" x14ac:dyDescent="0.2">
      <c r="A82" s="315"/>
      <c r="B82" s="2402" t="s">
        <v>2477</v>
      </c>
      <c r="C82" s="2402"/>
      <c r="D82" s="2406" t="s">
        <v>1225</v>
      </c>
      <c r="E82" s="2407"/>
      <c r="F82" s="2406" t="s">
        <v>2493</v>
      </c>
      <c r="G82" s="2407"/>
      <c r="H82" s="2406" t="s">
        <v>2494</v>
      </c>
      <c r="I82" s="2407"/>
      <c r="J82" s="2402" t="s">
        <v>895</v>
      </c>
      <c r="K82" s="2402"/>
      <c r="L82" s="1"/>
      <c r="M82" s="1"/>
      <c r="N82" s="1"/>
      <c r="O82" s="1"/>
      <c r="P82" s="1"/>
      <c r="Q82" s="1"/>
      <c r="R82" s="1"/>
      <c r="S82" s="15"/>
    </row>
    <row r="83" spans="1:19" s="1301" customFormat="1" ht="13.5" customHeight="1" x14ac:dyDescent="0.2">
      <c r="A83" s="315"/>
      <c r="B83" s="2402"/>
      <c r="C83" s="2402"/>
      <c r="D83" s="2408"/>
      <c r="E83" s="2409"/>
      <c r="F83" s="2408"/>
      <c r="G83" s="2409"/>
      <c r="H83" s="2408"/>
      <c r="I83" s="2409"/>
      <c r="J83" s="2402"/>
      <c r="K83" s="2402"/>
      <c r="L83" s="1"/>
      <c r="M83" s="1"/>
      <c r="N83" s="1"/>
      <c r="O83" s="1"/>
      <c r="P83" s="1"/>
      <c r="Q83" s="1"/>
      <c r="R83" s="1"/>
      <c r="S83" s="15"/>
    </row>
    <row r="84" spans="1:19" s="1301" customFormat="1" ht="18" customHeight="1" x14ac:dyDescent="0.2">
      <c r="A84" s="315"/>
      <c r="B84" s="2402" t="s">
        <v>2482</v>
      </c>
      <c r="C84" s="2402"/>
      <c r="D84" s="2402">
        <v>4</v>
      </c>
      <c r="E84" s="2402"/>
      <c r="F84" s="2402">
        <v>1</v>
      </c>
      <c r="G84" s="2402"/>
      <c r="H84" s="2402">
        <v>0.1</v>
      </c>
      <c r="I84" s="2402"/>
      <c r="J84" s="2402" t="s">
        <v>895</v>
      </c>
      <c r="K84" s="2402"/>
      <c r="L84" s="1"/>
      <c r="M84" s="1"/>
      <c r="N84" s="1"/>
      <c r="O84" s="1"/>
      <c r="P84" s="1"/>
      <c r="Q84" s="1"/>
      <c r="R84" s="1"/>
      <c r="S84" s="15"/>
    </row>
    <row r="85" spans="1:19" s="1301" customFormat="1" ht="25.5" customHeight="1" x14ac:dyDescent="0.2">
      <c r="A85" s="315"/>
      <c r="B85" s="2402" t="s">
        <v>2483</v>
      </c>
      <c r="C85" s="2402"/>
      <c r="D85" s="2402" t="s">
        <v>1225</v>
      </c>
      <c r="E85" s="2402"/>
      <c r="F85" s="2402" t="s">
        <v>2495</v>
      </c>
      <c r="G85" s="2402"/>
      <c r="H85" s="2402" t="s">
        <v>2485</v>
      </c>
      <c r="I85" s="2402"/>
      <c r="J85" s="2402" t="s">
        <v>895</v>
      </c>
      <c r="K85" s="2402"/>
      <c r="L85" s="1"/>
      <c r="M85" s="1"/>
      <c r="N85" s="1"/>
      <c r="O85" s="1"/>
      <c r="P85" s="1"/>
      <c r="Q85" s="1"/>
      <c r="R85" s="1"/>
      <c r="S85" s="15"/>
    </row>
    <row r="86" spans="1:19" s="1301" customFormat="1" ht="18" customHeight="1" x14ac:dyDescent="0.2">
      <c r="A86" s="315"/>
      <c r="B86" s="2402" t="s">
        <v>2486</v>
      </c>
      <c r="C86" s="2402"/>
      <c r="D86" s="2402">
        <v>0</v>
      </c>
      <c r="E86" s="2402"/>
      <c r="F86" s="2402">
        <v>2</v>
      </c>
      <c r="G86" s="2402"/>
      <c r="H86" s="2402">
        <v>0.4</v>
      </c>
      <c r="I86" s="2402"/>
      <c r="J86" s="2402" t="s">
        <v>895</v>
      </c>
      <c r="K86" s="2402"/>
      <c r="L86" s="1"/>
      <c r="M86" s="1"/>
      <c r="N86" s="1"/>
      <c r="O86" s="1"/>
      <c r="P86" s="1"/>
      <c r="Q86" s="1"/>
      <c r="R86" s="1"/>
      <c r="S86" s="15"/>
    </row>
    <row r="87" spans="1:19" s="1301" customFormat="1" ht="38.25" customHeight="1" x14ac:dyDescent="0.2">
      <c r="A87" s="315"/>
      <c r="B87" s="2402" t="s">
        <v>1226</v>
      </c>
      <c r="C87" s="2402"/>
      <c r="D87" s="2402">
        <v>7</v>
      </c>
      <c r="E87" s="2402"/>
      <c r="F87" s="2402">
        <v>3</v>
      </c>
      <c r="G87" s="2402"/>
      <c r="H87" s="2402">
        <v>0.5</v>
      </c>
      <c r="I87" s="2402"/>
      <c r="J87" s="2402" t="s">
        <v>2496</v>
      </c>
      <c r="K87" s="2402"/>
      <c r="L87" s="1"/>
      <c r="M87" s="1"/>
      <c r="N87" s="1"/>
      <c r="O87" s="1"/>
      <c r="P87" s="1"/>
      <c r="Q87" s="1"/>
      <c r="R87" s="1"/>
      <c r="S87" s="15"/>
    </row>
    <row r="88" spans="1:19" s="1301" customFormat="1" ht="25.5" customHeight="1" x14ac:dyDescent="0.2">
      <c r="A88" s="315"/>
      <c r="B88" s="2402" t="s">
        <v>1227</v>
      </c>
      <c r="C88" s="2402"/>
      <c r="D88" s="2402">
        <v>1</v>
      </c>
      <c r="E88" s="2402"/>
      <c r="F88" s="2402">
        <v>0.1</v>
      </c>
      <c r="G88" s="2402"/>
      <c r="H88" s="2402">
        <v>0</v>
      </c>
      <c r="I88" s="2402"/>
      <c r="J88" s="2402" t="s">
        <v>2497</v>
      </c>
      <c r="K88" s="2402"/>
      <c r="L88" s="1"/>
      <c r="M88" s="1"/>
      <c r="N88" s="1"/>
      <c r="O88" s="1"/>
      <c r="P88" s="1"/>
      <c r="Q88" s="1"/>
      <c r="R88" s="1"/>
      <c r="S88" s="15"/>
    </row>
    <row r="89" spans="1:19" s="1301" customFormat="1" ht="25.5" customHeight="1" x14ac:dyDescent="0.2">
      <c r="A89" s="315"/>
      <c r="B89" s="2402" t="s">
        <v>1228</v>
      </c>
      <c r="C89" s="2402"/>
      <c r="D89" s="2402">
        <v>4</v>
      </c>
      <c r="E89" s="2402"/>
      <c r="F89" s="2402">
        <v>1</v>
      </c>
      <c r="G89" s="2402"/>
      <c r="H89" s="2402">
        <v>0</v>
      </c>
      <c r="I89" s="2402"/>
      <c r="J89" s="2402" t="s">
        <v>2498</v>
      </c>
      <c r="K89" s="2402"/>
      <c r="L89" s="1"/>
      <c r="M89" s="1"/>
      <c r="N89" s="1"/>
      <c r="O89" s="1"/>
      <c r="P89" s="1"/>
      <c r="Q89" s="1"/>
      <c r="R89" s="1"/>
      <c r="S89" s="15"/>
    </row>
    <row r="90" spans="1:19" s="1301" customFormat="1" ht="18" customHeight="1" x14ac:dyDescent="0.2">
      <c r="A90" s="315"/>
      <c r="B90" s="2402" t="s">
        <v>1229</v>
      </c>
      <c r="C90" s="2402"/>
      <c r="D90" s="2402" t="s">
        <v>2499</v>
      </c>
      <c r="E90" s="2402"/>
      <c r="F90" s="2402">
        <v>0</v>
      </c>
      <c r="G90" s="2402"/>
      <c r="H90" s="2402">
        <v>0</v>
      </c>
      <c r="I90" s="2402"/>
      <c r="J90" s="2402" t="s">
        <v>895</v>
      </c>
      <c r="K90" s="2402"/>
      <c r="L90" s="1"/>
      <c r="M90" s="1"/>
      <c r="N90" s="1"/>
      <c r="O90" s="1"/>
      <c r="P90" s="1"/>
      <c r="Q90" s="1"/>
      <c r="R90" s="1"/>
      <c r="S90" s="15"/>
    </row>
    <row r="91" spans="1:19" s="1301" customFormat="1" ht="18" customHeight="1" x14ac:dyDescent="0.2">
      <c r="A91" s="315"/>
      <c r="B91" s="1307" t="s">
        <v>2490</v>
      </c>
      <c r="C91" s="1"/>
      <c r="D91" s="1"/>
      <c r="E91" s="1"/>
      <c r="F91" s="1"/>
      <c r="G91" s="1"/>
      <c r="H91" s="1"/>
      <c r="I91" s="1"/>
      <c r="J91" s="1"/>
      <c r="K91" s="1"/>
      <c r="L91" s="1"/>
      <c r="M91" s="1"/>
      <c r="N91" s="1"/>
      <c r="O91" s="1"/>
      <c r="P91" s="1"/>
      <c r="Q91" s="1"/>
      <c r="R91" s="476"/>
    </row>
    <row r="92" spans="1:19" s="1301" customFormat="1" ht="18" customHeight="1" x14ac:dyDescent="0.2">
      <c r="A92" s="315"/>
      <c r="B92" s="1"/>
      <c r="C92" s="1"/>
      <c r="D92" s="1"/>
      <c r="E92" s="1"/>
      <c r="F92" s="1"/>
      <c r="G92" s="1"/>
      <c r="H92" s="1"/>
      <c r="I92" s="1"/>
      <c r="J92" s="1"/>
      <c r="K92" s="1"/>
      <c r="L92" s="1"/>
      <c r="M92" s="1"/>
      <c r="N92" s="1"/>
      <c r="O92" s="1"/>
      <c r="P92" s="1"/>
      <c r="Q92" s="1"/>
      <c r="R92" s="476"/>
    </row>
    <row r="93" spans="1:19" s="1301" customFormat="1" ht="18" customHeight="1" x14ac:dyDescent="0.2">
      <c r="A93" s="315"/>
      <c r="B93" s="2410" t="s">
        <v>2500</v>
      </c>
      <c r="C93" s="2410"/>
      <c r="D93" s="2410"/>
      <c r="E93" s="2410"/>
      <c r="F93" s="2410"/>
      <c r="G93" s="2410"/>
      <c r="H93" s="2410"/>
      <c r="I93" s="2410"/>
      <c r="J93" s="2410"/>
      <c r="K93" s="2410"/>
      <c r="L93" s="1"/>
      <c r="M93" s="1"/>
      <c r="N93" s="1"/>
      <c r="O93" s="1"/>
      <c r="P93" s="1"/>
      <c r="Q93" s="1"/>
      <c r="R93" s="476"/>
    </row>
    <row r="94" spans="1:19" s="1301" customFormat="1" ht="18" customHeight="1" x14ac:dyDescent="0.2">
      <c r="A94" s="315"/>
      <c r="B94" s="2411" t="s">
        <v>1224</v>
      </c>
      <c r="C94" s="2411"/>
      <c r="D94" s="2411" t="s">
        <v>2472</v>
      </c>
      <c r="E94" s="2411"/>
      <c r="F94" s="2411"/>
      <c r="G94" s="2411"/>
      <c r="H94" s="2411"/>
      <c r="I94" s="2411"/>
      <c r="J94" s="1306"/>
      <c r="K94" s="1306"/>
      <c r="L94" s="2411" t="s">
        <v>2473</v>
      </c>
      <c r="M94" s="2411"/>
      <c r="N94" s="1"/>
      <c r="O94" s="1"/>
      <c r="P94" s="1"/>
      <c r="Q94" s="1"/>
      <c r="R94" s="1"/>
      <c r="S94" s="15"/>
    </row>
    <row r="95" spans="1:19" s="1301" customFormat="1" ht="51" customHeight="1" x14ac:dyDescent="0.2">
      <c r="A95" s="315"/>
      <c r="B95" s="2405"/>
      <c r="C95" s="2405"/>
      <c r="D95" s="2405" t="s">
        <v>2501</v>
      </c>
      <c r="E95" s="2405"/>
      <c r="F95" s="2405" t="s">
        <v>2502</v>
      </c>
      <c r="G95" s="2405"/>
      <c r="H95" s="2405" t="s">
        <v>2474</v>
      </c>
      <c r="I95" s="2405"/>
      <c r="J95" s="2412" t="s">
        <v>2475</v>
      </c>
      <c r="K95" s="2412"/>
      <c r="L95" s="2405"/>
      <c r="M95" s="2405"/>
      <c r="N95" s="1"/>
      <c r="O95" s="1"/>
      <c r="P95" s="1"/>
      <c r="Q95" s="1"/>
      <c r="R95" s="1"/>
      <c r="S95" s="15"/>
    </row>
    <row r="96" spans="1:19" s="1301" customFormat="1" ht="18" customHeight="1" x14ac:dyDescent="0.2">
      <c r="A96" s="315"/>
      <c r="B96" s="2402" t="s">
        <v>2476</v>
      </c>
      <c r="C96" s="2402"/>
      <c r="D96" s="2402">
        <v>3</v>
      </c>
      <c r="E96" s="2402"/>
      <c r="F96" s="2402">
        <v>1.5</v>
      </c>
      <c r="G96" s="2402"/>
      <c r="H96" s="2402">
        <v>3</v>
      </c>
      <c r="I96" s="2402"/>
      <c r="J96" s="2402">
        <v>0.5</v>
      </c>
      <c r="K96" s="2402"/>
      <c r="L96" s="2402" t="s">
        <v>895</v>
      </c>
      <c r="M96" s="2402"/>
      <c r="N96" s="1"/>
      <c r="O96" s="1"/>
      <c r="P96" s="1"/>
      <c r="Q96" s="1"/>
      <c r="R96" s="1"/>
      <c r="S96" s="15"/>
    </row>
    <row r="97" spans="1:19" s="1301" customFormat="1" ht="18" customHeight="1" x14ac:dyDescent="0.2">
      <c r="A97" s="315"/>
      <c r="B97" s="2402" t="s">
        <v>2477</v>
      </c>
      <c r="C97" s="2402"/>
      <c r="D97" s="2406" t="s">
        <v>2493</v>
      </c>
      <c r="E97" s="2407"/>
      <c r="F97" s="2406" t="s">
        <v>2503</v>
      </c>
      <c r="G97" s="2407"/>
      <c r="H97" s="2406" t="s">
        <v>2493</v>
      </c>
      <c r="I97" s="2407"/>
      <c r="J97" s="2406" t="s">
        <v>2494</v>
      </c>
      <c r="K97" s="2407"/>
      <c r="L97" s="2402" t="s">
        <v>895</v>
      </c>
      <c r="M97" s="2402"/>
      <c r="N97" s="1"/>
      <c r="O97" s="1"/>
      <c r="P97" s="1"/>
      <c r="Q97" s="1"/>
      <c r="R97" s="1"/>
      <c r="S97" s="15"/>
    </row>
    <row r="98" spans="1:19" s="1301" customFormat="1" ht="18" customHeight="1" x14ac:dyDescent="0.2">
      <c r="A98" s="315"/>
      <c r="B98" s="2402"/>
      <c r="C98" s="2402"/>
      <c r="D98" s="2408"/>
      <c r="E98" s="2409"/>
      <c r="F98" s="2408"/>
      <c r="G98" s="2409"/>
      <c r="H98" s="2408"/>
      <c r="I98" s="2409"/>
      <c r="J98" s="2408"/>
      <c r="K98" s="2409"/>
      <c r="L98" s="2402"/>
      <c r="M98" s="2402"/>
      <c r="N98" s="1"/>
      <c r="O98" s="1"/>
      <c r="P98" s="1"/>
      <c r="Q98" s="1"/>
      <c r="R98" s="1"/>
      <c r="S98" s="15"/>
    </row>
    <row r="99" spans="1:19" s="1301" customFormat="1" ht="18" customHeight="1" x14ac:dyDescent="0.2">
      <c r="A99" s="315"/>
      <c r="B99" s="2402" t="s">
        <v>2482</v>
      </c>
      <c r="C99" s="2402"/>
      <c r="D99" s="2402">
        <v>1</v>
      </c>
      <c r="E99" s="2402"/>
      <c r="F99" s="2402">
        <v>0.5</v>
      </c>
      <c r="G99" s="2402"/>
      <c r="H99" s="2402">
        <v>1</v>
      </c>
      <c r="I99" s="2402"/>
      <c r="J99" s="2402">
        <v>0.1</v>
      </c>
      <c r="K99" s="2402"/>
      <c r="L99" s="2402" t="s">
        <v>895</v>
      </c>
      <c r="M99" s="2402"/>
      <c r="N99" s="1"/>
      <c r="O99" s="1"/>
      <c r="P99" s="1"/>
      <c r="Q99" s="1"/>
      <c r="R99" s="1"/>
      <c r="S99" s="15"/>
    </row>
    <row r="100" spans="1:19" s="1301" customFormat="1" ht="18" customHeight="1" x14ac:dyDescent="0.2">
      <c r="A100" s="315"/>
      <c r="B100" s="2402" t="s">
        <v>2483</v>
      </c>
      <c r="C100" s="2402"/>
      <c r="D100" s="2402" t="s">
        <v>2495</v>
      </c>
      <c r="E100" s="2402"/>
      <c r="F100" s="2402" t="s">
        <v>2504</v>
      </c>
      <c r="G100" s="2402"/>
      <c r="H100" s="2402" t="s">
        <v>2495</v>
      </c>
      <c r="I100" s="2402"/>
      <c r="J100" s="2402" t="s">
        <v>2485</v>
      </c>
      <c r="K100" s="2402"/>
      <c r="L100" s="2402" t="s">
        <v>895</v>
      </c>
      <c r="M100" s="2402"/>
      <c r="N100" s="1"/>
      <c r="O100" s="1"/>
      <c r="P100" s="1"/>
      <c r="Q100" s="1"/>
      <c r="R100" s="1"/>
      <c r="S100" s="15"/>
    </row>
    <row r="101" spans="1:19" s="1301" customFormat="1" ht="18" customHeight="1" x14ac:dyDescent="0.2">
      <c r="A101" s="315"/>
      <c r="B101" s="2402" t="s">
        <v>2486</v>
      </c>
      <c r="C101" s="2402"/>
      <c r="D101" s="2402">
        <v>2</v>
      </c>
      <c r="E101" s="2402"/>
      <c r="F101" s="2402">
        <v>1</v>
      </c>
      <c r="G101" s="2402"/>
      <c r="H101" s="2402">
        <v>2</v>
      </c>
      <c r="I101" s="2402"/>
      <c r="J101" s="2402">
        <v>0.4</v>
      </c>
      <c r="K101" s="2402"/>
      <c r="L101" s="2402" t="s">
        <v>895</v>
      </c>
      <c r="M101" s="2402"/>
      <c r="N101" s="1"/>
      <c r="O101" s="1"/>
      <c r="P101" s="1"/>
      <c r="Q101" s="1"/>
      <c r="R101" s="1"/>
      <c r="S101" s="15"/>
    </row>
    <row r="102" spans="1:19" s="1301" customFormat="1" ht="25.5" customHeight="1" x14ac:dyDescent="0.2">
      <c r="A102" s="315"/>
      <c r="B102" s="2402" t="s">
        <v>1226</v>
      </c>
      <c r="C102" s="2402"/>
      <c r="D102" s="2402">
        <v>3</v>
      </c>
      <c r="E102" s="2402"/>
      <c r="F102" s="2402">
        <v>1.5</v>
      </c>
      <c r="G102" s="2402"/>
      <c r="H102" s="2402">
        <v>3</v>
      </c>
      <c r="I102" s="2402"/>
      <c r="J102" s="2402">
        <v>0.5</v>
      </c>
      <c r="K102" s="2402"/>
      <c r="L102" s="2402" t="s">
        <v>2487</v>
      </c>
      <c r="M102" s="2402"/>
      <c r="N102" s="1"/>
      <c r="O102" s="1"/>
      <c r="P102" s="1"/>
      <c r="Q102" s="1"/>
      <c r="R102" s="1"/>
      <c r="S102" s="15"/>
    </row>
    <row r="103" spans="1:19" s="1301" customFormat="1" ht="18" customHeight="1" x14ac:dyDescent="0.2">
      <c r="A103" s="315"/>
      <c r="B103" s="2402" t="s">
        <v>1227</v>
      </c>
      <c r="C103" s="2402"/>
      <c r="D103" s="2402">
        <v>0</v>
      </c>
      <c r="E103" s="2402"/>
      <c r="F103" s="2402">
        <v>0</v>
      </c>
      <c r="G103" s="2402"/>
      <c r="H103" s="2402">
        <v>0.1</v>
      </c>
      <c r="I103" s="2402"/>
      <c r="J103" s="2402">
        <v>0</v>
      </c>
      <c r="K103" s="2402"/>
      <c r="L103" s="2402" t="s">
        <v>2488</v>
      </c>
      <c r="M103" s="2402"/>
      <c r="N103" s="1"/>
      <c r="O103" s="1"/>
      <c r="P103" s="1"/>
      <c r="Q103" s="1"/>
      <c r="R103" s="1"/>
      <c r="S103" s="15"/>
    </row>
    <row r="104" spans="1:19" s="1301" customFormat="1" ht="18" customHeight="1" x14ac:dyDescent="0.2">
      <c r="A104" s="315"/>
      <c r="B104" s="2402" t="s">
        <v>1228</v>
      </c>
      <c r="C104" s="2402"/>
      <c r="D104" s="2402">
        <v>0</v>
      </c>
      <c r="E104" s="2402"/>
      <c r="F104" s="2402">
        <v>0</v>
      </c>
      <c r="G104" s="2402"/>
      <c r="H104" s="2402">
        <v>1</v>
      </c>
      <c r="I104" s="2402"/>
      <c r="J104" s="2402">
        <v>0</v>
      </c>
      <c r="K104" s="2402"/>
      <c r="L104" s="2402" t="s">
        <v>2489</v>
      </c>
      <c r="M104" s="2402"/>
      <c r="N104" s="1"/>
      <c r="O104" s="1"/>
      <c r="P104" s="1"/>
      <c r="Q104" s="1"/>
      <c r="R104" s="1"/>
      <c r="S104" s="15"/>
    </row>
    <row r="105" spans="1:19" s="1301" customFormat="1" ht="18" customHeight="1" x14ac:dyDescent="0.2">
      <c r="A105" s="315"/>
      <c r="B105" s="1307" t="s">
        <v>2490</v>
      </c>
      <c r="C105" s="1"/>
      <c r="D105" s="1"/>
      <c r="E105" s="1"/>
      <c r="F105" s="1"/>
      <c r="G105" s="1"/>
      <c r="H105" s="1"/>
      <c r="I105" s="1"/>
      <c r="J105" s="1"/>
      <c r="K105" s="1"/>
      <c r="L105" s="1"/>
      <c r="M105" s="1"/>
      <c r="N105" s="1"/>
      <c r="O105" s="1"/>
      <c r="P105" s="1"/>
      <c r="Q105" s="1"/>
      <c r="R105" s="476"/>
    </row>
    <row r="106" spans="1:19" s="1301" customFormat="1" ht="18" customHeight="1" x14ac:dyDescent="0.2">
      <c r="A106" s="315"/>
      <c r="B106" s="1"/>
      <c r="C106" s="1"/>
      <c r="D106" s="1"/>
      <c r="E106" s="1"/>
      <c r="F106" s="1"/>
      <c r="G106" s="1"/>
      <c r="H106" s="1"/>
      <c r="I106" s="1"/>
      <c r="J106" s="1"/>
      <c r="K106" s="1"/>
      <c r="L106" s="1"/>
      <c r="M106" s="1"/>
      <c r="N106" s="1"/>
      <c r="O106" s="1"/>
      <c r="P106" s="1"/>
      <c r="Q106" s="1"/>
      <c r="R106" s="476"/>
    </row>
    <row r="107" spans="1:19" s="1301" customFormat="1" ht="18" customHeight="1" x14ac:dyDescent="0.2">
      <c r="A107" s="315"/>
      <c r="B107" s="2410" t="s">
        <v>2505</v>
      </c>
      <c r="C107" s="2410"/>
      <c r="D107" s="2410"/>
      <c r="E107" s="2410"/>
      <c r="F107" s="2410"/>
      <c r="G107" s="2410"/>
      <c r="H107" s="2410"/>
      <c r="I107" s="2410"/>
      <c r="J107" s="2410"/>
      <c r="K107" s="2410"/>
      <c r="L107" s="1"/>
      <c r="M107" s="1"/>
      <c r="N107" s="1"/>
      <c r="O107" s="1"/>
      <c r="P107" s="1"/>
      <c r="Q107" s="1"/>
      <c r="R107" s="476"/>
    </row>
    <row r="108" spans="1:19" s="1301" customFormat="1" ht="18" customHeight="1" x14ac:dyDescent="0.2">
      <c r="A108" s="315"/>
      <c r="B108" s="2411" t="s">
        <v>1224</v>
      </c>
      <c r="C108" s="2411"/>
      <c r="D108" s="2411" t="s">
        <v>2472</v>
      </c>
      <c r="E108" s="2411"/>
      <c r="F108" s="2411"/>
      <c r="G108" s="2411"/>
      <c r="H108" s="2411"/>
      <c r="I108" s="2411"/>
      <c r="J108" s="2411" t="s">
        <v>2473</v>
      </c>
      <c r="K108" s="2411"/>
      <c r="L108" s="1"/>
      <c r="M108" s="1"/>
      <c r="N108" s="1"/>
      <c r="O108" s="1"/>
      <c r="P108" s="1"/>
      <c r="Q108" s="1"/>
      <c r="R108" s="476"/>
    </row>
    <row r="109" spans="1:19" s="1301" customFormat="1" ht="18" customHeight="1" x14ac:dyDescent="0.2">
      <c r="A109" s="315"/>
      <c r="B109" s="2405"/>
      <c r="C109" s="2405"/>
      <c r="D109" s="2405" t="s">
        <v>2506</v>
      </c>
      <c r="E109" s="2405"/>
      <c r="F109" s="2405" t="s">
        <v>2474</v>
      </c>
      <c r="G109" s="2405"/>
      <c r="H109" s="2412" t="s">
        <v>2475</v>
      </c>
      <c r="I109" s="2412"/>
      <c r="J109" s="2405"/>
      <c r="K109" s="2405"/>
      <c r="L109" s="1"/>
      <c r="M109" s="1"/>
      <c r="N109" s="1"/>
      <c r="O109" s="1"/>
      <c r="P109" s="1"/>
      <c r="Q109" s="1"/>
      <c r="R109" s="476"/>
    </row>
    <row r="110" spans="1:19" s="1301" customFormat="1" ht="18" customHeight="1" x14ac:dyDescent="0.2">
      <c r="A110" s="315"/>
      <c r="B110" s="2402" t="s">
        <v>2476</v>
      </c>
      <c r="C110" s="2402"/>
      <c r="D110" s="2402">
        <v>0.2</v>
      </c>
      <c r="E110" s="2402"/>
      <c r="F110" s="2402">
        <v>3</v>
      </c>
      <c r="G110" s="2402"/>
      <c r="H110" s="2402">
        <v>0.5</v>
      </c>
      <c r="I110" s="2402"/>
      <c r="J110" s="2402" t="s">
        <v>895</v>
      </c>
      <c r="K110" s="2402"/>
      <c r="L110" s="1"/>
      <c r="M110" s="1"/>
      <c r="N110" s="1"/>
      <c r="O110" s="1"/>
      <c r="P110" s="1"/>
      <c r="Q110" s="1"/>
      <c r="R110" s="476"/>
    </row>
    <row r="111" spans="1:19" s="1301" customFormat="1" ht="18" customHeight="1" x14ac:dyDescent="0.2">
      <c r="A111" s="315"/>
      <c r="B111" s="2402" t="s">
        <v>2477</v>
      </c>
      <c r="C111" s="2402"/>
      <c r="D111" s="2406" t="s">
        <v>2507</v>
      </c>
      <c r="E111" s="2407"/>
      <c r="F111" s="2406" t="s">
        <v>2493</v>
      </c>
      <c r="G111" s="2407"/>
      <c r="H111" s="2406" t="s">
        <v>2494</v>
      </c>
      <c r="I111" s="2407"/>
      <c r="J111" s="2402" t="s">
        <v>895</v>
      </c>
      <c r="K111" s="2402"/>
      <c r="L111" s="1"/>
      <c r="M111" s="1"/>
      <c r="N111" s="1"/>
      <c r="O111" s="1"/>
      <c r="P111" s="1"/>
      <c r="Q111" s="1"/>
      <c r="R111" s="476"/>
    </row>
    <row r="112" spans="1:19" s="1301" customFormat="1" ht="18" customHeight="1" x14ac:dyDescent="0.2">
      <c r="A112" s="315"/>
      <c r="B112" s="2402"/>
      <c r="C112" s="2402"/>
      <c r="D112" s="2408"/>
      <c r="E112" s="2409"/>
      <c r="F112" s="2408"/>
      <c r="G112" s="2409"/>
      <c r="H112" s="2408"/>
      <c r="I112" s="2409"/>
      <c r="J112" s="2402"/>
      <c r="K112" s="2402"/>
      <c r="L112" s="1"/>
      <c r="M112" s="1"/>
      <c r="N112" s="1"/>
      <c r="O112" s="1"/>
      <c r="P112" s="1"/>
      <c r="Q112" s="1"/>
      <c r="R112" s="476"/>
    </row>
    <row r="113" spans="1:18" s="1301" customFormat="1" ht="18" customHeight="1" x14ac:dyDescent="0.2">
      <c r="A113" s="315"/>
      <c r="B113" s="2402" t="s">
        <v>2482</v>
      </c>
      <c r="C113" s="2402"/>
      <c r="D113" s="2402">
        <v>0.1</v>
      </c>
      <c r="E113" s="2402"/>
      <c r="F113" s="2402">
        <v>1</v>
      </c>
      <c r="G113" s="2402"/>
      <c r="H113" s="2402">
        <v>0.1</v>
      </c>
      <c r="I113" s="2402"/>
      <c r="J113" s="2402" t="s">
        <v>895</v>
      </c>
      <c r="K113" s="2402"/>
      <c r="L113" s="1"/>
      <c r="M113" s="1"/>
      <c r="N113" s="1"/>
      <c r="O113" s="1"/>
      <c r="P113" s="1"/>
      <c r="Q113" s="1"/>
      <c r="R113" s="476"/>
    </row>
    <row r="114" spans="1:18" s="1301" customFormat="1" ht="18" customHeight="1" x14ac:dyDescent="0.2">
      <c r="A114" s="315"/>
      <c r="B114" s="2402" t="s">
        <v>2483</v>
      </c>
      <c r="C114" s="2402"/>
      <c r="D114" s="2402" t="s">
        <v>2485</v>
      </c>
      <c r="E114" s="2402"/>
      <c r="F114" s="2402" t="s">
        <v>2495</v>
      </c>
      <c r="G114" s="2402"/>
      <c r="H114" s="2402" t="s">
        <v>2485</v>
      </c>
      <c r="I114" s="2402"/>
      <c r="J114" s="2402" t="s">
        <v>895</v>
      </c>
      <c r="K114" s="2402"/>
      <c r="L114" s="1"/>
      <c r="M114" s="1"/>
      <c r="N114" s="1"/>
      <c r="O114" s="1"/>
      <c r="P114" s="1"/>
      <c r="Q114" s="1"/>
      <c r="R114" s="476"/>
    </row>
    <row r="115" spans="1:18" s="1301" customFormat="1" ht="18" customHeight="1" x14ac:dyDescent="0.2">
      <c r="A115" s="315"/>
      <c r="B115" s="2402" t="s">
        <v>2486</v>
      </c>
      <c r="C115" s="2402"/>
      <c r="D115" s="2402">
        <v>0.1</v>
      </c>
      <c r="E115" s="2402"/>
      <c r="F115" s="2402">
        <v>2</v>
      </c>
      <c r="G115" s="2402"/>
      <c r="H115" s="2402">
        <v>0.4</v>
      </c>
      <c r="I115" s="2402"/>
      <c r="J115" s="2402" t="s">
        <v>895</v>
      </c>
      <c r="K115" s="2402"/>
      <c r="L115" s="1"/>
      <c r="M115" s="1"/>
      <c r="N115" s="1"/>
      <c r="O115" s="1"/>
      <c r="P115" s="1"/>
      <c r="Q115" s="1"/>
      <c r="R115" s="476"/>
    </row>
    <row r="116" spans="1:18" s="1301" customFormat="1" ht="24" customHeight="1" x14ac:dyDescent="0.2">
      <c r="A116" s="315"/>
      <c r="B116" s="2402" t="s">
        <v>1226</v>
      </c>
      <c r="C116" s="2402"/>
      <c r="D116" s="2402">
        <v>0.2</v>
      </c>
      <c r="E116" s="2402"/>
      <c r="F116" s="2402">
        <v>3</v>
      </c>
      <c r="G116" s="2402"/>
      <c r="H116" s="2402">
        <v>0.5</v>
      </c>
      <c r="I116" s="2402"/>
      <c r="J116" s="2402" t="s">
        <v>2487</v>
      </c>
      <c r="K116" s="2402"/>
      <c r="L116" s="1"/>
      <c r="M116" s="1"/>
      <c r="N116" s="1"/>
      <c r="O116" s="1"/>
      <c r="P116" s="1"/>
      <c r="Q116" s="1"/>
      <c r="R116" s="476"/>
    </row>
    <row r="117" spans="1:18" s="1301" customFormat="1" ht="18" customHeight="1" x14ac:dyDescent="0.2">
      <c r="A117" s="315"/>
      <c r="B117" s="2402" t="s">
        <v>1227</v>
      </c>
      <c r="C117" s="2402"/>
      <c r="D117" s="2402">
        <v>0</v>
      </c>
      <c r="E117" s="2402"/>
      <c r="F117" s="2402">
        <v>0.1</v>
      </c>
      <c r="G117" s="2402"/>
      <c r="H117" s="2402">
        <v>0</v>
      </c>
      <c r="I117" s="2402"/>
      <c r="J117" s="2402" t="s">
        <v>2488</v>
      </c>
      <c r="K117" s="2402"/>
      <c r="L117" s="1"/>
      <c r="M117" s="1"/>
      <c r="N117" s="1"/>
      <c r="O117" s="1"/>
      <c r="P117" s="1"/>
      <c r="Q117" s="1"/>
      <c r="R117" s="476"/>
    </row>
    <row r="118" spans="1:18" s="1301" customFormat="1" ht="18" customHeight="1" x14ac:dyDescent="0.2">
      <c r="A118" s="315"/>
      <c r="B118" s="2402" t="s">
        <v>1228</v>
      </c>
      <c r="C118" s="2402"/>
      <c r="D118" s="2402">
        <v>0</v>
      </c>
      <c r="E118" s="2402"/>
      <c r="F118" s="2402">
        <v>1</v>
      </c>
      <c r="G118" s="2402"/>
      <c r="H118" s="2402">
        <v>0</v>
      </c>
      <c r="I118" s="2402"/>
      <c r="J118" s="2402" t="s">
        <v>2489</v>
      </c>
      <c r="K118" s="2402"/>
      <c r="L118" s="1"/>
      <c r="M118" s="1"/>
      <c r="N118" s="1"/>
      <c r="O118" s="1"/>
      <c r="P118" s="1"/>
      <c r="Q118" s="1"/>
      <c r="R118" s="476"/>
    </row>
    <row r="119" spans="1:18" s="1301" customFormat="1" ht="18" customHeight="1" x14ac:dyDescent="0.2">
      <c r="A119" s="315"/>
      <c r="B119" s="1307" t="s">
        <v>2490</v>
      </c>
      <c r="C119" s="1"/>
      <c r="D119" s="1"/>
      <c r="E119" s="1"/>
      <c r="F119" s="1"/>
      <c r="G119" s="1"/>
      <c r="H119" s="1"/>
      <c r="I119" s="1"/>
      <c r="J119" s="1"/>
      <c r="K119" s="1"/>
      <c r="L119" s="1"/>
      <c r="M119" s="1"/>
      <c r="N119" s="1"/>
      <c r="O119" s="1"/>
      <c r="P119" s="1"/>
      <c r="Q119" s="1"/>
      <c r="R119" s="476"/>
    </row>
    <row r="120" spans="1:18" s="1301" customFormat="1" ht="18" customHeight="1" x14ac:dyDescent="0.2">
      <c r="A120" s="315"/>
      <c r="B120" s="1"/>
      <c r="C120" s="1"/>
      <c r="D120" s="1"/>
      <c r="E120" s="1"/>
      <c r="F120" s="1"/>
      <c r="G120" s="1"/>
      <c r="H120" s="1"/>
      <c r="I120" s="1"/>
      <c r="J120" s="1"/>
      <c r="K120" s="1"/>
      <c r="L120" s="1"/>
      <c r="M120" s="1"/>
      <c r="N120" s="1"/>
      <c r="O120" s="1"/>
      <c r="P120" s="1"/>
      <c r="Q120" s="1"/>
      <c r="R120" s="476"/>
    </row>
    <row r="121" spans="1:18" s="1301" customFormat="1" ht="18" customHeight="1" x14ac:dyDescent="0.2">
      <c r="A121" s="315"/>
      <c r="B121" s="2403" t="s">
        <v>2508</v>
      </c>
      <c r="C121" s="2403"/>
      <c r="D121" s="2403"/>
      <c r="E121" s="2403"/>
      <c r="F121" s="1"/>
      <c r="G121" s="1"/>
      <c r="H121" s="1"/>
      <c r="I121" s="1"/>
      <c r="J121" s="1"/>
      <c r="K121" s="1"/>
      <c r="L121" s="1"/>
      <c r="M121" s="1"/>
      <c r="N121" s="1"/>
      <c r="O121" s="1"/>
      <c r="P121" s="1"/>
      <c r="Q121" s="1"/>
      <c r="R121" s="476"/>
    </row>
    <row r="122" spans="1:18" s="1301" customFormat="1" ht="18" customHeight="1" x14ac:dyDescent="0.2">
      <c r="A122" s="315"/>
      <c r="B122" s="2404" t="s">
        <v>1224</v>
      </c>
      <c r="C122" s="2405"/>
      <c r="D122" s="2405" t="s">
        <v>1230</v>
      </c>
      <c r="E122" s="2405"/>
      <c r="F122" s="1"/>
      <c r="G122" s="1"/>
      <c r="H122" s="1"/>
      <c r="I122" s="1"/>
      <c r="J122" s="1"/>
      <c r="K122" s="1"/>
      <c r="L122" s="1"/>
      <c r="M122" s="1"/>
      <c r="N122" s="1"/>
      <c r="O122" s="1"/>
      <c r="P122" s="1"/>
      <c r="Q122" s="1"/>
      <c r="R122" s="476"/>
    </row>
    <row r="123" spans="1:18" s="1301" customFormat="1" ht="18" customHeight="1" x14ac:dyDescent="0.2">
      <c r="A123" s="315"/>
      <c r="B123" s="2402" t="s">
        <v>1231</v>
      </c>
      <c r="C123" s="2402"/>
      <c r="D123" s="2402" t="s">
        <v>1232</v>
      </c>
      <c r="E123" s="2402"/>
      <c r="F123" s="1"/>
      <c r="G123" s="1"/>
      <c r="H123" s="1"/>
      <c r="I123" s="1"/>
      <c r="J123" s="1"/>
      <c r="K123" s="1"/>
      <c r="L123" s="1"/>
      <c r="M123" s="1"/>
      <c r="N123" s="1"/>
      <c r="O123" s="1"/>
      <c r="P123" s="1"/>
      <c r="Q123" s="1"/>
      <c r="R123" s="476"/>
    </row>
    <row r="124" spans="1:18" s="1301" customFormat="1" ht="18" customHeight="1" x14ac:dyDescent="0.2">
      <c r="A124" s="315"/>
      <c r="B124" s="2402" t="s">
        <v>2509</v>
      </c>
      <c r="C124" s="2402"/>
      <c r="D124" s="2402" t="s">
        <v>2510</v>
      </c>
      <c r="E124" s="2402"/>
      <c r="F124" s="1"/>
      <c r="G124" s="1"/>
      <c r="H124" s="1"/>
      <c r="I124" s="1"/>
      <c r="J124" s="1"/>
      <c r="K124" s="1"/>
      <c r="L124" s="1"/>
      <c r="M124" s="1"/>
      <c r="N124" s="1"/>
      <c r="O124" s="1"/>
      <c r="P124" s="1"/>
      <c r="Q124" s="1"/>
      <c r="R124" s="476"/>
    </row>
    <row r="125" spans="1:18" s="1301" customFormat="1" ht="18" customHeight="1" x14ac:dyDescent="0.2">
      <c r="A125" s="315"/>
      <c r="B125" s="2402" t="s">
        <v>1233</v>
      </c>
      <c r="C125" s="2402"/>
      <c r="D125" s="2402" t="s">
        <v>1234</v>
      </c>
      <c r="E125" s="2402"/>
      <c r="F125" s="1"/>
      <c r="G125" s="1"/>
      <c r="H125" s="1"/>
      <c r="I125" s="1"/>
      <c r="J125" s="1"/>
      <c r="K125" s="1"/>
      <c r="L125" s="1"/>
      <c r="M125" s="1"/>
      <c r="N125" s="1"/>
      <c r="O125" s="1"/>
      <c r="P125" s="1"/>
      <c r="Q125" s="1"/>
      <c r="R125" s="476"/>
    </row>
    <row r="126" spans="1:18" s="1301" customFormat="1" ht="18" customHeight="1" x14ac:dyDescent="0.2">
      <c r="A126" s="315"/>
      <c r="B126" s="2402" t="s">
        <v>1235</v>
      </c>
      <c r="C126" s="2402"/>
      <c r="D126" s="2402" t="s">
        <v>1236</v>
      </c>
      <c r="E126" s="2402"/>
      <c r="F126" s="1"/>
      <c r="G126" s="1"/>
      <c r="H126" s="1"/>
      <c r="I126" s="1"/>
      <c r="J126" s="1"/>
      <c r="K126" s="1"/>
      <c r="L126" s="1"/>
      <c r="M126" s="1"/>
      <c r="N126" s="1"/>
      <c r="O126" s="1"/>
      <c r="P126" s="1"/>
      <c r="Q126" s="1"/>
      <c r="R126" s="476"/>
    </row>
    <row r="127" spans="1:18" s="1301" customFormat="1" ht="18" customHeight="1" x14ac:dyDescent="0.2">
      <c r="A127" s="315"/>
      <c r="B127" s="2402" t="s">
        <v>1237</v>
      </c>
      <c r="C127" s="2402"/>
      <c r="D127" s="2402" t="s">
        <v>1234</v>
      </c>
      <c r="E127" s="2402"/>
      <c r="F127" s="1"/>
      <c r="G127" s="1"/>
      <c r="H127" s="1"/>
      <c r="I127" s="1"/>
      <c r="J127" s="1"/>
      <c r="K127" s="1"/>
      <c r="L127" s="1"/>
      <c r="M127" s="1"/>
      <c r="N127" s="1"/>
      <c r="O127" s="1"/>
      <c r="P127" s="1"/>
      <c r="Q127" s="1"/>
      <c r="R127" s="476"/>
    </row>
    <row r="128" spans="1:18" s="1301" customFormat="1" ht="18" customHeight="1" x14ac:dyDescent="0.2">
      <c r="A128" s="315"/>
      <c r="B128" s="2402" t="s">
        <v>1229</v>
      </c>
      <c r="C128" s="2402"/>
      <c r="D128" s="2402" t="s">
        <v>2511</v>
      </c>
      <c r="E128" s="2402"/>
      <c r="F128" s="1"/>
      <c r="G128" s="1"/>
      <c r="H128" s="1"/>
      <c r="I128" s="1"/>
      <c r="J128" s="1"/>
      <c r="K128" s="1"/>
      <c r="L128" s="1"/>
      <c r="M128" s="1"/>
      <c r="N128" s="1"/>
      <c r="O128" s="1"/>
      <c r="P128" s="1"/>
      <c r="Q128" s="1"/>
      <c r="R128" s="476"/>
    </row>
    <row r="129" spans="1:18" s="1301" customFormat="1" ht="18" customHeight="1" x14ac:dyDescent="0.2">
      <c r="A129" s="315"/>
      <c r="B129" s="1308" t="s">
        <v>2512</v>
      </c>
      <c r="C129" s="1308"/>
      <c r="D129" s="1308"/>
      <c r="E129" s="1"/>
      <c r="F129" s="1"/>
      <c r="G129" s="1"/>
      <c r="H129" s="1"/>
      <c r="I129" s="1"/>
      <c r="J129" s="1"/>
      <c r="K129" s="1"/>
      <c r="L129" s="1"/>
      <c r="M129" s="1"/>
      <c r="N129" s="1"/>
      <c r="O129" s="1"/>
      <c r="P129" s="1"/>
      <c r="Q129" s="1"/>
      <c r="R129" s="476"/>
    </row>
    <row r="130" spans="1:18" s="1301" customFormat="1" ht="14.25" x14ac:dyDescent="0.2">
      <c r="A130" s="835"/>
      <c r="B130" s="835"/>
      <c r="C130" s="835"/>
      <c r="D130" s="835"/>
      <c r="E130" s="835"/>
      <c r="F130" s="835"/>
      <c r="G130" s="835"/>
      <c r="H130" s="835"/>
      <c r="I130" s="835"/>
      <c r="J130" s="835"/>
      <c r="K130" s="835"/>
      <c r="L130" s="835"/>
      <c r="M130" s="835"/>
      <c r="N130" s="835"/>
      <c r="O130" s="835"/>
      <c r="P130" s="835"/>
      <c r="Q130" s="835"/>
      <c r="R130" s="835"/>
    </row>
    <row r="131" spans="1:18" s="13" customFormat="1" ht="21" customHeight="1" x14ac:dyDescent="0.2">
      <c r="A131" s="2415" t="s">
        <v>33</v>
      </c>
      <c r="B131" s="2415"/>
      <c r="C131" s="2415"/>
      <c r="D131" s="2415"/>
      <c r="E131" s="2415"/>
      <c r="F131" s="2415"/>
      <c r="G131" s="1"/>
      <c r="H131" s="1"/>
      <c r="I131" s="1"/>
      <c r="J131" s="1"/>
      <c r="K131" s="1"/>
      <c r="L131" s="1"/>
      <c r="M131" s="1"/>
      <c r="N131" s="1"/>
      <c r="O131" s="1"/>
      <c r="P131" s="1"/>
      <c r="Q131" s="1"/>
      <c r="R131" s="1"/>
    </row>
    <row r="132" spans="1:18" s="13" customFormat="1" ht="15" customHeight="1" x14ac:dyDescent="0.2">
      <c r="A132" s="315"/>
      <c r="B132" s="315"/>
      <c r="C132" s="315"/>
      <c r="D132" s="315"/>
      <c r="E132" s="315"/>
      <c r="F132" s="315"/>
      <c r="G132" s="1"/>
      <c r="H132" s="1"/>
      <c r="I132" s="1"/>
      <c r="J132" s="1"/>
      <c r="K132" s="1"/>
      <c r="L132" s="1"/>
      <c r="M132" s="1"/>
      <c r="N132" s="1"/>
      <c r="O132" s="1"/>
      <c r="P132" s="1"/>
      <c r="Q132" s="1"/>
      <c r="R132" s="1"/>
    </row>
    <row r="133" spans="1:18" s="13" customFormat="1" ht="15" customHeight="1" x14ac:dyDescent="0.2">
      <c r="A133" s="315"/>
      <c r="B133" s="315" t="s">
        <v>649</v>
      </c>
      <c r="C133" s="315"/>
      <c r="D133" s="315"/>
      <c r="E133" s="315"/>
      <c r="F133" s="315"/>
      <c r="G133" s="1"/>
      <c r="H133" s="1"/>
      <c r="I133" s="1"/>
      <c r="J133" s="1"/>
      <c r="K133" s="1"/>
      <c r="L133" s="1"/>
      <c r="M133" s="1"/>
      <c r="N133" s="1"/>
      <c r="O133" s="1"/>
      <c r="P133" s="1"/>
      <c r="Q133" s="1"/>
      <c r="R133" s="1"/>
    </row>
    <row r="134" spans="1:18" s="13" customFormat="1" ht="15" customHeight="1" x14ac:dyDescent="0.2">
      <c r="A134" s="315"/>
      <c r="B134" s="2427" t="s">
        <v>472</v>
      </c>
      <c r="C134" s="2427" t="s">
        <v>474</v>
      </c>
      <c r="D134" s="2427"/>
      <c r="E134" s="2427"/>
      <c r="F134" s="2427" t="s">
        <v>641</v>
      </c>
      <c r="G134" s="2427"/>
      <c r="H134" s="2427"/>
      <c r="I134" s="2427" t="s">
        <v>476</v>
      </c>
      <c r="J134" s="2427"/>
      <c r="K134" s="2427"/>
      <c r="L134" s="1"/>
      <c r="M134" s="1"/>
      <c r="N134" s="1"/>
      <c r="O134" s="1"/>
      <c r="P134" s="1"/>
      <c r="Q134" s="1"/>
      <c r="R134" s="1"/>
    </row>
    <row r="135" spans="1:18" s="13" customFormat="1" ht="15" customHeight="1" x14ac:dyDescent="0.2">
      <c r="A135" s="315"/>
      <c r="B135" s="2427"/>
      <c r="C135" s="345" t="s">
        <v>642</v>
      </c>
      <c r="D135" s="345" t="s">
        <v>643</v>
      </c>
      <c r="E135" s="345" t="s">
        <v>644</v>
      </c>
      <c r="F135" s="345" t="s">
        <v>642</v>
      </c>
      <c r="G135" s="345" t="s">
        <v>643</v>
      </c>
      <c r="H135" s="345" t="s">
        <v>644</v>
      </c>
      <c r="I135" s="345" t="s">
        <v>642</v>
      </c>
      <c r="J135" s="345" t="s">
        <v>643</v>
      </c>
      <c r="K135" s="345" t="s">
        <v>644</v>
      </c>
      <c r="L135" s="1"/>
      <c r="M135" s="1"/>
      <c r="N135" s="1"/>
      <c r="O135" s="1"/>
      <c r="P135" s="1"/>
      <c r="Q135" s="1"/>
      <c r="R135" s="1"/>
    </row>
    <row r="136" spans="1:18" s="13" customFormat="1" ht="15" customHeight="1" x14ac:dyDescent="0.2">
      <c r="A136" s="315"/>
      <c r="B136" s="346" t="s">
        <v>645</v>
      </c>
      <c r="C136" s="346">
        <v>0.2</v>
      </c>
      <c r="D136" s="346">
        <v>0.5</v>
      </c>
      <c r="E136" s="346">
        <v>0.9</v>
      </c>
      <c r="F136" s="346">
        <v>0.5</v>
      </c>
      <c r="G136" s="346">
        <v>1</v>
      </c>
      <c r="H136" s="346">
        <v>1.3</v>
      </c>
      <c r="I136" s="346">
        <v>0.5</v>
      </c>
      <c r="J136" s="346">
        <v>1</v>
      </c>
      <c r="K136" s="346">
        <v>1.4</v>
      </c>
      <c r="L136" s="1"/>
      <c r="M136" s="1"/>
      <c r="N136" s="1"/>
      <c r="O136" s="1"/>
      <c r="P136" s="1"/>
      <c r="Q136" s="1"/>
      <c r="R136" s="1"/>
    </row>
    <row r="137" spans="1:18" s="13" customFormat="1" ht="15" customHeight="1" x14ac:dyDescent="0.2">
      <c r="A137" s="315"/>
      <c r="B137" s="346" t="s">
        <v>646</v>
      </c>
      <c r="C137" s="346">
        <v>0.2</v>
      </c>
      <c r="D137" s="346">
        <v>0.5</v>
      </c>
      <c r="E137" s="346">
        <v>0.7</v>
      </c>
      <c r="F137" s="346">
        <v>0.5</v>
      </c>
      <c r="G137" s="346">
        <v>1</v>
      </c>
      <c r="H137" s="346">
        <v>1.1000000000000001</v>
      </c>
      <c r="I137" s="346">
        <v>0.5</v>
      </c>
      <c r="J137" s="346">
        <v>1</v>
      </c>
      <c r="K137" s="346">
        <v>1.3</v>
      </c>
      <c r="L137" s="1"/>
      <c r="M137" s="1"/>
      <c r="N137" s="1"/>
      <c r="O137" s="1"/>
      <c r="P137" s="1"/>
      <c r="Q137" s="1"/>
      <c r="R137" s="1"/>
    </row>
    <row r="138" spans="1:18" s="13" customFormat="1" ht="15" customHeight="1" x14ac:dyDescent="0.2">
      <c r="A138" s="315"/>
      <c r="B138" s="346" t="s">
        <v>647</v>
      </c>
      <c r="C138" s="346">
        <v>0.2</v>
      </c>
      <c r="D138" s="346">
        <v>0.5</v>
      </c>
      <c r="E138" s="346">
        <v>0.7</v>
      </c>
      <c r="F138" s="346">
        <v>0.5</v>
      </c>
      <c r="G138" s="346">
        <v>1</v>
      </c>
      <c r="H138" s="346">
        <v>1.1000000000000001</v>
      </c>
      <c r="I138" s="346">
        <v>0.5</v>
      </c>
      <c r="J138" s="346">
        <v>1</v>
      </c>
      <c r="K138" s="346">
        <v>1.2</v>
      </c>
      <c r="L138" s="1"/>
      <c r="M138" s="1"/>
      <c r="N138" s="1"/>
      <c r="O138" s="1"/>
      <c r="P138" s="1"/>
      <c r="Q138" s="1"/>
      <c r="R138" s="1"/>
    </row>
    <row r="139" spans="1:18" s="13" customFormat="1" ht="15" customHeight="1" x14ac:dyDescent="0.2">
      <c r="A139" s="315"/>
      <c r="B139" s="346" t="s">
        <v>648</v>
      </c>
      <c r="C139" s="346">
        <v>0.55000000000000004</v>
      </c>
      <c r="D139" s="346">
        <v>0.7</v>
      </c>
      <c r="E139" s="346">
        <v>0.8</v>
      </c>
      <c r="F139" s="346">
        <v>0.6</v>
      </c>
      <c r="G139" s="346">
        <v>1</v>
      </c>
      <c r="H139" s="346">
        <v>1</v>
      </c>
      <c r="I139" s="346">
        <v>0.8</v>
      </c>
      <c r="J139" s="346">
        <v>1</v>
      </c>
      <c r="K139" s="346">
        <v>1.2</v>
      </c>
      <c r="L139" s="1"/>
      <c r="M139" s="1"/>
      <c r="N139" s="1"/>
      <c r="O139" s="1"/>
      <c r="P139" s="1"/>
      <c r="Q139" s="1"/>
      <c r="R139" s="1"/>
    </row>
    <row r="140" spans="1:18" s="13" customFormat="1" ht="15" customHeight="1" x14ac:dyDescent="0.2">
      <c r="A140" s="315"/>
      <c r="B140" s="315" t="s">
        <v>651</v>
      </c>
      <c r="C140" s="315"/>
      <c r="D140" s="315"/>
      <c r="E140" s="315"/>
      <c r="F140" s="315"/>
      <c r="G140" s="1"/>
      <c r="H140" s="1"/>
      <c r="I140" s="1"/>
      <c r="J140" s="1"/>
      <c r="K140" s="1"/>
      <c r="L140" s="1"/>
      <c r="M140" s="1"/>
      <c r="N140" s="1"/>
      <c r="O140" s="1"/>
      <c r="P140" s="1"/>
      <c r="Q140" s="1"/>
      <c r="R140" s="1"/>
    </row>
    <row r="141" spans="1:18" s="13" customFormat="1" ht="15" customHeight="1" x14ac:dyDescent="0.2">
      <c r="A141" s="315"/>
      <c r="B141" s="315" t="s">
        <v>652</v>
      </c>
      <c r="C141" s="315"/>
      <c r="D141" s="315"/>
      <c r="E141" s="315"/>
      <c r="F141" s="315"/>
      <c r="G141" s="1"/>
      <c r="H141" s="1"/>
      <c r="I141" s="1"/>
      <c r="J141" s="1"/>
      <c r="K141" s="1"/>
      <c r="L141" s="1"/>
      <c r="M141" s="1"/>
      <c r="N141" s="1"/>
      <c r="O141" s="1"/>
      <c r="P141" s="1"/>
      <c r="Q141" s="1"/>
      <c r="R141" s="1"/>
    </row>
    <row r="142" spans="1:18" s="13" customFormat="1" ht="15" customHeight="1" x14ac:dyDescent="0.2">
      <c r="A142" s="315"/>
      <c r="B142" s="315" t="s">
        <v>650</v>
      </c>
      <c r="C142" s="315"/>
      <c r="D142" s="315"/>
      <c r="E142" s="315"/>
      <c r="F142" s="315"/>
      <c r="G142" s="1"/>
      <c r="H142" s="1"/>
      <c r="I142" s="1"/>
      <c r="J142" s="1"/>
      <c r="K142" s="1"/>
      <c r="L142" s="1"/>
      <c r="M142" s="1"/>
      <c r="N142" s="1"/>
      <c r="O142" s="1"/>
      <c r="P142" s="1"/>
      <c r="Q142" s="1"/>
      <c r="R142" s="1"/>
    </row>
    <row r="143" spans="1:18" s="13" customFormat="1" ht="15" customHeight="1" x14ac:dyDescent="0.2">
      <c r="A143" s="315"/>
      <c r="B143" s="315"/>
      <c r="C143" s="315"/>
      <c r="D143" s="315"/>
      <c r="E143" s="315"/>
      <c r="F143" s="315"/>
      <c r="G143" s="1"/>
      <c r="H143" s="1"/>
      <c r="I143" s="1"/>
      <c r="J143" s="1"/>
      <c r="K143" s="1"/>
      <c r="L143" s="1"/>
      <c r="M143" s="1"/>
      <c r="N143" s="1"/>
      <c r="O143" s="1"/>
      <c r="P143" s="1"/>
      <c r="Q143" s="1"/>
      <c r="R143" s="1"/>
    </row>
    <row r="144" spans="1:18" s="13" customFormat="1" ht="15" customHeight="1" x14ac:dyDescent="0.2">
      <c r="A144" s="315"/>
      <c r="B144" s="315" t="s">
        <v>920</v>
      </c>
      <c r="C144" s="315"/>
      <c r="D144" s="315"/>
      <c r="E144" s="315"/>
      <c r="F144" s="315"/>
      <c r="G144" s="1"/>
      <c r="H144" s="1"/>
      <c r="I144" s="1"/>
      <c r="J144" s="1"/>
      <c r="K144" s="1"/>
      <c r="L144" s="1"/>
      <c r="M144" s="1"/>
      <c r="N144" s="1"/>
      <c r="O144" s="1"/>
      <c r="P144" s="1"/>
      <c r="Q144" s="1"/>
      <c r="R144" s="1"/>
    </row>
    <row r="145" spans="1:18" s="13" customFormat="1" ht="15" customHeight="1" x14ac:dyDescent="0.2">
      <c r="A145" s="835"/>
      <c r="B145" s="835"/>
      <c r="C145" s="835"/>
      <c r="D145" s="835"/>
      <c r="E145" s="835"/>
      <c r="F145" s="835"/>
      <c r="G145" s="835"/>
      <c r="H145" s="835"/>
      <c r="I145" s="835"/>
      <c r="J145" s="835"/>
      <c r="K145" s="835"/>
      <c r="L145" s="835"/>
      <c r="M145" s="835"/>
      <c r="N145" s="835"/>
      <c r="O145" s="835"/>
      <c r="P145" s="835"/>
      <c r="Q145" s="835"/>
      <c r="R145" s="835"/>
    </row>
    <row r="146" spans="1:18" s="13" customFormat="1" ht="21.75" customHeight="1" x14ac:dyDescent="0.2">
      <c r="A146" s="2447" t="s">
        <v>673</v>
      </c>
      <c r="B146" s="2447"/>
      <c r="C146" s="2447"/>
      <c r="D146" s="2447"/>
      <c r="E146" s="2447"/>
      <c r="F146" s="2447"/>
      <c r="G146" s="1"/>
      <c r="H146" s="1"/>
      <c r="I146" s="1"/>
      <c r="J146" s="1"/>
      <c r="K146" s="1"/>
      <c r="L146" s="1"/>
      <c r="M146" s="1"/>
      <c r="N146" s="1"/>
      <c r="O146" s="1"/>
      <c r="P146" s="1"/>
      <c r="Q146" s="1"/>
      <c r="R146" s="1"/>
    </row>
    <row r="147" spans="1:18" s="13" customFormat="1" ht="15" customHeight="1" x14ac:dyDescent="0.2">
      <c r="A147" s="315"/>
      <c r="B147" s="315"/>
      <c r="C147" s="315"/>
      <c r="D147" s="315"/>
      <c r="E147" s="315"/>
      <c r="F147" s="315"/>
      <c r="G147" s="1"/>
      <c r="H147" s="1"/>
      <c r="I147" s="1"/>
      <c r="J147" s="1"/>
      <c r="K147" s="1"/>
      <c r="L147" s="1"/>
      <c r="M147" s="1"/>
      <c r="N147" s="1"/>
      <c r="O147" s="1"/>
      <c r="P147" s="1"/>
      <c r="Q147" s="1"/>
      <c r="R147" s="1"/>
    </row>
    <row r="148" spans="1:18" s="13" customFormat="1" ht="18" customHeight="1" x14ac:dyDescent="0.2">
      <c r="A148" s="315"/>
      <c r="B148" s="2443" t="s">
        <v>671</v>
      </c>
      <c r="C148" s="2443"/>
      <c r="D148" s="2443"/>
      <c r="E148" s="2443"/>
      <c r="F148" s="315"/>
      <c r="G148" s="1"/>
      <c r="H148" s="2428" t="s">
        <v>665</v>
      </c>
      <c r="I148" s="2428"/>
      <c r="J148" s="2428"/>
      <c r="K148" s="2428"/>
      <c r="L148" s="2428"/>
      <c r="M148" s="2428"/>
      <c r="N148" s="2428"/>
      <c r="O148" s="2428"/>
      <c r="P148" s="2428"/>
      <c r="Q148" s="1"/>
      <c r="R148" s="1"/>
    </row>
    <row r="149" spans="1:18" s="13" customFormat="1" ht="15" customHeight="1" x14ac:dyDescent="0.2">
      <c r="A149" s="315"/>
      <c r="B149" s="2441" t="s">
        <v>191</v>
      </c>
      <c r="C149" s="2441" t="s">
        <v>656</v>
      </c>
      <c r="D149" s="2441" t="s">
        <v>657</v>
      </c>
      <c r="E149" s="2441"/>
      <c r="F149" s="315"/>
      <c r="G149" s="1"/>
      <c r="H149" s="1"/>
      <c r="I149" s="1"/>
      <c r="J149" s="1"/>
      <c r="K149" s="1"/>
      <c r="L149" s="1"/>
      <c r="M149" s="1"/>
      <c r="N149" s="1"/>
      <c r="O149" s="1"/>
      <c r="P149" s="1"/>
      <c r="Q149" s="1"/>
      <c r="R149" s="1"/>
    </row>
    <row r="150" spans="1:18" s="13" customFormat="1" ht="15" customHeight="1" x14ac:dyDescent="0.2">
      <c r="A150" s="315"/>
      <c r="B150" s="2441"/>
      <c r="C150" s="2441"/>
      <c r="D150" s="351" t="s">
        <v>658</v>
      </c>
      <c r="E150" s="351" t="s">
        <v>659</v>
      </c>
      <c r="F150" s="315"/>
      <c r="G150" s="1"/>
      <c r="H150" s="1"/>
      <c r="I150" s="1"/>
      <c r="J150" s="1"/>
      <c r="K150" s="1"/>
      <c r="L150" s="1"/>
      <c r="M150" s="1"/>
      <c r="N150" s="1"/>
      <c r="O150" s="1"/>
      <c r="P150" s="1"/>
      <c r="Q150" s="1"/>
      <c r="R150" s="1"/>
    </row>
    <row r="151" spans="1:18" s="13" customFormat="1" ht="15" customHeight="1" x14ac:dyDescent="0.2">
      <c r="A151" s="315"/>
      <c r="B151" s="2442" t="s">
        <v>660</v>
      </c>
      <c r="C151" s="352" t="s">
        <v>661</v>
      </c>
      <c r="D151" s="352">
        <v>0.9</v>
      </c>
      <c r="E151" s="352">
        <v>0.8</v>
      </c>
      <c r="F151" s="315"/>
      <c r="G151" s="1"/>
      <c r="H151" s="1"/>
      <c r="I151" s="1"/>
      <c r="J151" s="1"/>
      <c r="K151" s="1"/>
      <c r="L151" s="1"/>
      <c r="M151" s="1"/>
      <c r="N151" s="1"/>
      <c r="O151" s="1"/>
      <c r="P151" s="1"/>
      <c r="Q151" s="1"/>
      <c r="R151" s="1"/>
    </row>
    <row r="152" spans="1:18" s="13" customFormat="1" ht="15" customHeight="1" x14ac:dyDescent="0.2">
      <c r="A152" s="315"/>
      <c r="B152" s="2442"/>
      <c r="C152" s="352" t="s">
        <v>662</v>
      </c>
      <c r="D152" s="352">
        <v>0.8</v>
      </c>
      <c r="E152" s="352">
        <v>0.7</v>
      </c>
      <c r="F152" s="315"/>
      <c r="G152" s="1"/>
      <c r="H152" s="1"/>
      <c r="I152" s="1"/>
      <c r="J152" s="1"/>
      <c r="K152" s="1"/>
      <c r="L152" s="1"/>
      <c r="M152" s="1"/>
      <c r="N152" s="1"/>
      <c r="O152" s="1"/>
      <c r="P152" s="1"/>
      <c r="Q152" s="1"/>
      <c r="R152" s="1"/>
    </row>
    <row r="153" spans="1:18" s="13" customFormat="1" ht="15" customHeight="1" x14ac:dyDescent="0.2">
      <c r="A153" s="315"/>
      <c r="B153" s="2442"/>
      <c r="C153" s="352" t="s">
        <v>663</v>
      </c>
      <c r="D153" s="352">
        <v>0.7</v>
      </c>
      <c r="E153" s="352">
        <v>0.6</v>
      </c>
      <c r="F153" s="315"/>
      <c r="G153" s="1"/>
      <c r="H153" s="1"/>
      <c r="I153" s="1"/>
      <c r="J153" s="1"/>
      <c r="K153" s="1"/>
      <c r="L153" s="1"/>
      <c r="M153" s="1"/>
      <c r="N153" s="1"/>
      <c r="O153" s="1"/>
      <c r="P153" s="1"/>
      <c r="Q153" s="1"/>
      <c r="R153" s="1"/>
    </row>
    <row r="154" spans="1:18" s="13" customFormat="1" ht="15" customHeight="1" x14ac:dyDescent="0.2">
      <c r="A154" s="315"/>
      <c r="B154" s="2442" t="s">
        <v>664</v>
      </c>
      <c r="C154" s="352" t="s">
        <v>661</v>
      </c>
      <c r="D154" s="352">
        <v>0.8</v>
      </c>
      <c r="E154" s="352">
        <v>0.7</v>
      </c>
      <c r="F154" s="315"/>
      <c r="G154" s="1"/>
      <c r="H154" s="1"/>
      <c r="I154" s="1"/>
      <c r="J154" s="1"/>
      <c r="K154" s="1"/>
      <c r="L154" s="1"/>
      <c r="M154" s="1"/>
      <c r="N154" s="1"/>
      <c r="O154" s="1"/>
      <c r="P154" s="1"/>
      <c r="Q154" s="1"/>
      <c r="R154" s="1"/>
    </row>
    <row r="155" spans="1:18" s="13" customFormat="1" ht="15" customHeight="1" x14ac:dyDescent="0.2">
      <c r="A155" s="315"/>
      <c r="B155" s="2442"/>
      <c r="C155" s="352" t="s">
        <v>662</v>
      </c>
      <c r="D155" s="352">
        <v>0.7</v>
      </c>
      <c r="E155" s="352">
        <v>0.6</v>
      </c>
      <c r="F155" s="315"/>
      <c r="G155" s="1"/>
      <c r="H155" s="1"/>
      <c r="I155" s="1"/>
      <c r="J155" s="1"/>
      <c r="K155" s="1"/>
      <c r="L155" s="1"/>
      <c r="M155" s="1"/>
      <c r="N155" s="1"/>
      <c r="O155" s="1"/>
      <c r="P155" s="1"/>
      <c r="Q155" s="1"/>
      <c r="R155" s="1"/>
    </row>
    <row r="156" spans="1:18" s="13" customFormat="1" ht="15" customHeight="1" x14ac:dyDescent="0.2">
      <c r="A156" s="315"/>
      <c r="B156" s="2442"/>
      <c r="C156" s="352" t="s">
        <v>663</v>
      </c>
      <c r="D156" s="352">
        <v>0.6</v>
      </c>
      <c r="E156" s="352">
        <v>0.5</v>
      </c>
      <c r="F156" s="315"/>
      <c r="G156" s="1"/>
      <c r="H156" s="1"/>
      <c r="I156" s="1"/>
      <c r="J156" s="1"/>
      <c r="K156" s="1"/>
      <c r="L156" s="1"/>
      <c r="M156" s="1"/>
      <c r="N156" s="1"/>
      <c r="O156" s="1"/>
      <c r="P156" s="1"/>
      <c r="Q156" s="1"/>
      <c r="R156" s="1"/>
    </row>
    <row r="157" spans="1:18" s="13" customFormat="1" ht="15" customHeight="1" x14ac:dyDescent="0.2">
      <c r="A157" s="315"/>
      <c r="B157" s="843" t="s">
        <v>672</v>
      </c>
      <c r="C157" s="315"/>
      <c r="D157" s="315"/>
      <c r="E157" s="315"/>
      <c r="F157" s="315"/>
      <c r="G157" s="1"/>
      <c r="H157" s="1"/>
      <c r="I157" s="1"/>
      <c r="J157" s="1"/>
      <c r="K157" s="1"/>
      <c r="L157" s="1"/>
      <c r="M157" s="1"/>
      <c r="N157" s="1"/>
      <c r="O157" s="1"/>
      <c r="P157" s="1"/>
      <c r="Q157" s="1"/>
      <c r="R157" s="1"/>
    </row>
    <row r="158" spans="1:18" s="13" customFormat="1" ht="15" customHeight="1" x14ac:dyDescent="0.2">
      <c r="A158" s="841"/>
      <c r="B158" s="841"/>
      <c r="C158" s="841"/>
      <c r="D158" s="841"/>
      <c r="E158" s="841"/>
      <c r="F158" s="841"/>
      <c r="G158" s="841"/>
      <c r="H158" s="1"/>
      <c r="I158" s="1"/>
      <c r="J158" s="1"/>
      <c r="K158" s="1"/>
      <c r="L158" s="1"/>
      <c r="M158" s="1"/>
      <c r="N158" s="1"/>
      <c r="O158" s="1"/>
      <c r="P158" s="1"/>
      <c r="Q158" s="1"/>
      <c r="R158" s="1"/>
    </row>
    <row r="159" spans="1:18" s="13" customFormat="1" ht="15" customHeight="1" x14ac:dyDescent="0.2">
      <c r="A159" s="2444" t="s">
        <v>743</v>
      </c>
      <c r="B159" s="2445"/>
      <c r="C159" s="2445"/>
      <c r="D159" s="2445"/>
      <c r="E159" s="2445"/>
      <c r="F159" s="2445"/>
      <c r="G159" s="841"/>
      <c r="H159" s="1"/>
      <c r="I159" s="1"/>
      <c r="J159" s="1"/>
      <c r="K159" s="1"/>
      <c r="L159" s="1"/>
      <c r="M159" s="1"/>
      <c r="N159" s="1"/>
      <c r="O159" s="1"/>
      <c r="P159" s="1"/>
      <c r="Q159" s="1"/>
      <c r="R159" s="1"/>
    </row>
    <row r="160" spans="1:18" s="13" customFormat="1" ht="14.25" customHeight="1" x14ac:dyDescent="0.2">
      <c r="A160" s="476"/>
      <c r="B160" s="2438" t="s">
        <v>734</v>
      </c>
      <c r="C160" s="2438"/>
      <c r="D160" s="2438"/>
      <c r="E160" s="2438" t="s">
        <v>735</v>
      </c>
      <c r="F160" s="2438"/>
      <c r="G160" s="841"/>
      <c r="H160" s="476"/>
      <c r="I160" s="842"/>
      <c r="J160" s="842"/>
      <c r="K160" s="842"/>
      <c r="L160" s="842"/>
      <c r="M160" s="842"/>
      <c r="N160" s="842"/>
      <c r="O160" s="842"/>
      <c r="P160" s="842"/>
      <c r="Q160" s="842"/>
      <c r="R160" s="1"/>
    </row>
    <row r="161" spans="1:18" s="13" customFormat="1" ht="15" customHeight="1" x14ac:dyDescent="0.2">
      <c r="A161" s="841"/>
      <c r="B161" s="2438"/>
      <c r="C161" s="2438"/>
      <c r="D161" s="2438"/>
      <c r="E161" s="2438"/>
      <c r="F161" s="2438"/>
      <c r="G161" s="841"/>
      <c r="H161" s="842"/>
      <c r="I161" s="842"/>
      <c r="J161" s="842"/>
      <c r="K161" s="842"/>
      <c r="L161" s="842"/>
      <c r="M161" s="842"/>
      <c r="N161" s="842"/>
      <c r="O161" s="842"/>
      <c r="P161" s="842"/>
      <c r="Q161" s="842"/>
      <c r="R161" s="1"/>
    </row>
    <row r="162" spans="1:18" s="13" customFormat="1" ht="14.25" x14ac:dyDescent="0.2">
      <c r="A162" s="841"/>
      <c r="B162" s="2402" t="s">
        <v>736</v>
      </c>
      <c r="C162" s="2402" t="s">
        <v>737</v>
      </c>
      <c r="D162" s="2402"/>
      <c r="E162" s="2402">
        <v>0.9</v>
      </c>
      <c r="F162" s="2402"/>
      <c r="G162" s="841"/>
      <c r="H162" s="1"/>
      <c r="I162" s="2435" t="s">
        <v>669</v>
      </c>
      <c r="J162" s="2435"/>
      <c r="K162" s="2435"/>
      <c r="L162" s="2435"/>
      <c r="M162" s="2435"/>
      <c r="N162" s="2435"/>
      <c r="O162" s="1"/>
      <c r="P162" s="1"/>
      <c r="Q162" s="1"/>
      <c r="R162" s="1"/>
    </row>
    <row r="163" spans="1:18" s="13" customFormat="1" ht="15" customHeight="1" x14ac:dyDescent="0.2">
      <c r="A163" s="841"/>
      <c r="B163" s="2402"/>
      <c r="C163" s="2402" t="s">
        <v>738</v>
      </c>
      <c r="D163" s="2402"/>
      <c r="E163" s="2402">
        <v>0.68</v>
      </c>
      <c r="F163" s="2402"/>
      <c r="G163" s="841"/>
      <c r="H163" s="1"/>
      <c r="I163" s="1"/>
      <c r="J163" s="2439" t="s">
        <v>666</v>
      </c>
      <c r="K163" s="2439"/>
      <c r="L163" s="2439" t="s">
        <v>667</v>
      </c>
      <c r="M163" s="2439"/>
      <c r="N163" s="1"/>
      <c r="O163" s="1"/>
      <c r="P163" s="1"/>
      <c r="Q163" s="1"/>
      <c r="R163" s="1"/>
    </row>
    <row r="164" spans="1:18" s="13" customFormat="1" ht="15" customHeight="1" x14ac:dyDescent="0.2">
      <c r="A164" s="841"/>
      <c r="B164" s="2402"/>
      <c r="C164" s="2402" t="s">
        <v>739</v>
      </c>
      <c r="D164" s="2402"/>
      <c r="E164" s="2402">
        <v>0.27</v>
      </c>
      <c r="F164" s="2402"/>
      <c r="G164" s="841"/>
      <c r="H164" s="1"/>
      <c r="I164" s="1"/>
      <c r="J164" s="2440"/>
      <c r="K164" s="2440"/>
      <c r="L164" s="2440"/>
      <c r="M164" s="2440"/>
      <c r="N164" s="1"/>
      <c r="O164" s="1"/>
      <c r="P164" s="1"/>
      <c r="Q164" s="1"/>
      <c r="R164" s="1"/>
    </row>
    <row r="165" spans="1:18" s="13" customFormat="1" ht="15" customHeight="1" x14ac:dyDescent="0.2">
      <c r="A165" s="841"/>
      <c r="B165" s="2402" t="s">
        <v>740</v>
      </c>
      <c r="C165" s="2402" t="s">
        <v>737</v>
      </c>
      <c r="D165" s="2402"/>
      <c r="E165" s="2402">
        <v>0.81</v>
      </c>
      <c r="F165" s="2402"/>
      <c r="G165" s="841"/>
      <c r="H165" s="1"/>
      <c r="I165" s="1"/>
      <c r="J165" s="2429" t="s">
        <v>599</v>
      </c>
      <c r="K165" s="2430"/>
      <c r="L165" s="2429">
        <v>0.7</v>
      </c>
      <c r="M165" s="2430"/>
      <c r="N165" s="1"/>
      <c r="O165" s="1"/>
      <c r="P165" s="1"/>
      <c r="Q165" s="1"/>
      <c r="R165" s="1"/>
    </row>
    <row r="166" spans="1:18" s="13" customFormat="1" ht="15" customHeight="1" x14ac:dyDescent="0.2">
      <c r="A166" s="841"/>
      <c r="B166" s="2402"/>
      <c r="C166" s="2402" t="s">
        <v>738</v>
      </c>
      <c r="D166" s="2402"/>
      <c r="E166" s="2402">
        <v>0.62</v>
      </c>
      <c r="F166" s="2402"/>
      <c r="G166" s="841"/>
      <c r="H166" s="1"/>
      <c r="I166" s="1"/>
      <c r="J166" s="2429" t="s">
        <v>668</v>
      </c>
      <c r="K166" s="2430"/>
      <c r="L166" s="2429">
        <v>0.5</v>
      </c>
      <c r="M166" s="2430"/>
      <c r="N166" s="1"/>
      <c r="O166" s="1"/>
      <c r="P166" s="1"/>
      <c r="Q166" s="1"/>
      <c r="R166" s="1"/>
    </row>
    <row r="167" spans="1:18" s="13" customFormat="1" ht="15" customHeight="1" x14ac:dyDescent="0.2">
      <c r="A167" s="841"/>
      <c r="B167" s="2402"/>
      <c r="C167" s="2402" t="s">
        <v>739</v>
      </c>
      <c r="D167" s="2402"/>
      <c r="E167" s="2402">
        <v>0.1</v>
      </c>
      <c r="F167" s="2402"/>
      <c r="G167" s="841"/>
      <c r="H167" s="1"/>
      <c r="I167" s="1"/>
      <c r="J167" s="2429" t="s">
        <v>601</v>
      </c>
      <c r="K167" s="2430"/>
      <c r="L167" s="2429">
        <v>0.2</v>
      </c>
      <c r="M167" s="2430"/>
      <c r="N167" s="1"/>
      <c r="O167" s="1"/>
      <c r="P167" s="1"/>
      <c r="Q167" s="1"/>
      <c r="R167" s="1"/>
    </row>
    <row r="168" spans="1:18" s="13" customFormat="1" ht="15" customHeight="1" x14ac:dyDescent="0.2">
      <c r="A168" s="841"/>
      <c r="B168" s="2402"/>
      <c r="C168" s="2402" t="s">
        <v>741</v>
      </c>
      <c r="D168" s="2402"/>
      <c r="E168" s="2402">
        <v>0.75</v>
      </c>
      <c r="F168" s="2402"/>
      <c r="G168" s="841"/>
      <c r="H168" s="1"/>
      <c r="I168" s="1"/>
      <c r="J168" s="843" t="s">
        <v>670</v>
      </c>
      <c r="K168" s="1"/>
      <c r="L168" s="1"/>
      <c r="M168" s="1"/>
      <c r="N168" s="1"/>
      <c r="O168" s="1"/>
      <c r="P168" s="1"/>
      <c r="Q168" s="1"/>
      <c r="R168" s="1"/>
    </row>
    <row r="169" spans="1:18" s="13" customFormat="1" ht="15" customHeight="1" x14ac:dyDescent="0.2">
      <c r="A169" s="841"/>
      <c r="B169" s="2402"/>
      <c r="C169" s="2402" t="s">
        <v>742</v>
      </c>
      <c r="D169" s="2402"/>
      <c r="E169" s="2402">
        <v>0.64</v>
      </c>
      <c r="F169" s="2402"/>
      <c r="G169" s="841"/>
      <c r="H169" s="1"/>
      <c r="I169" s="1"/>
      <c r="J169" s="843"/>
      <c r="K169" s="1"/>
      <c r="L169" s="1"/>
      <c r="M169" s="1"/>
      <c r="N169" s="1"/>
      <c r="O169" s="1"/>
      <c r="P169" s="1"/>
      <c r="Q169" s="1"/>
      <c r="R169" s="1"/>
    </row>
    <row r="170" spans="1:18" s="13" customFormat="1" ht="15" customHeight="1" x14ac:dyDescent="0.2">
      <c r="A170" s="841"/>
      <c r="B170" s="433" t="s">
        <v>744</v>
      </c>
      <c r="C170" s="841"/>
      <c r="D170" s="841"/>
      <c r="E170" s="841"/>
      <c r="F170" s="841"/>
      <c r="G170" s="841"/>
      <c r="H170" s="1"/>
      <c r="I170" s="1"/>
      <c r="J170" s="843"/>
      <c r="K170" s="1"/>
      <c r="L170" s="1"/>
      <c r="M170" s="1"/>
      <c r="N170" s="1"/>
      <c r="O170" s="1"/>
      <c r="P170" s="1"/>
      <c r="Q170" s="1"/>
      <c r="R170" s="1"/>
    </row>
    <row r="171" spans="1:18" s="13" customFormat="1" ht="15" customHeight="1" x14ac:dyDescent="0.2">
      <c r="A171" s="844"/>
      <c r="B171" s="844"/>
      <c r="C171" s="844"/>
      <c r="D171" s="844"/>
      <c r="E171" s="844"/>
      <c r="F171" s="844"/>
      <c r="G171" s="844"/>
      <c r="H171" s="835"/>
      <c r="I171" s="835"/>
      <c r="J171" s="835"/>
      <c r="K171" s="835"/>
      <c r="L171" s="835"/>
      <c r="M171" s="835"/>
      <c r="N171" s="835"/>
      <c r="O171" s="835"/>
      <c r="P171" s="835"/>
      <c r="Q171" s="835"/>
      <c r="R171" s="835"/>
    </row>
    <row r="172" spans="1:18" s="13" customFormat="1" ht="21.75" customHeight="1" x14ac:dyDescent="0.2">
      <c r="A172" s="2400" t="s">
        <v>305</v>
      </c>
      <c r="B172" s="2400"/>
      <c r="C172" s="2400"/>
      <c r="D172" s="2400"/>
      <c r="E172" s="2400"/>
      <c r="F172" s="2400"/>
      <c r="G172" s="1"/>
      <c r="H172" s="1"/>
      <c r="I172" s="1"/>
      <c r="J172" s="1"/>
      <c r="K172" s="1"/>
      <c r="L172" s="1"/>
      <c r="M172" s="1"/>
      <c r="N172" s="1"/>
      <c r="O172" s="1"/>
      <c r="P172" s="1"/>
      <c r="Q172" s="1"/>
      <c r="R172" s="1"/>
    </row>
    <row r="173" spans="1:18" s="13" customFormat="1" ht="15" customHeight="1" x14ac:dyDescent="0.2">
      <c r="A173" s="315"/>
      <c r="B173" s="315"/>
      <c r="C173" s="315"/>
      <c r="D173" s="315"/>
      <c r="E173" s="315"/>
      <c r="F173" s="315"/>
      <c r="G173" s="1"/>
      <c r="H173" s="1"/>
      <c r="I173" s="1"/>
      <c r="J173" s="1"/>
      <c r="K173" s="1"/>
      <c r="L173" s="1"/>
      <c r="M173" s="1"/>
      <c r="N173" s="1"/>
      <c r="O173" s="1"/>
      <c r="P173" s="1"/>
      <c r="Q173" s="1"/>
      <c r="R173" s="1"/>
    </row>
    <row r="174" spans="1:18" s="13" customFormat="1" ht="15" customHeight="1" x14ac:dyDescent="0.2">
      <c r="A174" s="315"/>
      <c r="B174" s="315"/>
      <c r="C174" s="315"/>
      <c r="D174" s="315"/>
      <c r="E174" s="315"/>
      <c r="F174" s="315"/>
      <c r="G174" s="1"/>
      <c r="H174" s="1"/>
      <c r="I174" s="1"/>
      <c r="J174" s="1"/>
      <c r="K174" s="1"/>
      <c r="L174" s="1"/>
      <c r="M174" s="1"/>
      <c r="N174" s="1"/>
      <c r="O174" s="1"/>
      <c r="P174" s="1"/>
      <c r="Q174" s="1"/>
      <c r="R174" s="1"/>
    </row>
    <row r="175" spans="1:18" s="13" customFormat="1" ht="15" customHeight="1" x14ac:dyDescent="0.2">
      <c r="A175" s="315"/>
      <c r="B175" s="315"/>
      <c r="C175" s="315"/>
      <c r="D175" s="315"/>
      <c r="E175" s="315"/>
      <c r="F175" s="315"/>
      <c r="G175" s="1"/>
      <c r="H175" s="1"/>
      <c r="I175" s="1"/>
      <c r="J175" s="1"/>
      <c r="K175" s="1"/>
      <c r="L175" s="1"/>
      <c r="M175" s="1"/>
      <c r="N175" s="1"/>
      <c r="O175" s="1"/>
      <c r="P175" s="1"/>
      <c r="Q175" s="1"/>
      <c r="R175" s="1"/>
    </row>
    <row r="176" spans="1:18" s="13" customFormat="1" ht="15" customHeight="1" x14ac:dyDescent="0.2">
      <c r="A176" s="315"/>
      <c r="B176" s="315"/>
      <c r="C176" s="315"/>
      <c r="D176" s="315"/>
      <c r="E176" s="315"/>
      <c r="F176" s="315"/>
      <c r="G176" s="1"/>
      <c r="H176" s="1"/>
      <c r="I176" s="1"/>
      <c r="J176" s="1"/>
      <c r="K176" s="1"/>
      <c r="L176" s="1"/>
      <c r="M176" s="1"/>
      <c r="N176" s="1"/>
      <c r="O176" s="1"/>
      <c r="P176" s="1"/>
      <c r="Q176" s="1"/>
      <c r="R176" s="1"/>
    </row>
    <row r="177" spans="1:18" s="13" customFormat="1" ht="15" customHeight="1" x14ac:dyDescent="0.2">
      <c r="A177" s="315"/>
      <c r="B177" s="315"/>
      <c r="C177" s="315"/>
      <c r="D177" s="315"/>
      <c r="E177" s="315"/>
      <c r="F177" s="315"/>
      <c r="G177" s="1"/>
      <c r="H177" s="1"/>
      <c r="I177" s="1"/>
      <c r="J177" s="1"/>
      <c r="K177" s="1"/>
      <c r="L177" s="1"/>
      <c r="M177" s="1"/>
      <c r="N177" s="1"/>
      <c r="O177" s="1"/>
      <c r="P177" s="1"/>
      <c r="Q177" s="1"/>
      <c r="R177" s="1"/>
    </row>
    <row r="178" spans="1:18" s="13" customFormat="1" ht="15" customHeight="1" x14ac:dyDescent="0.2">
      <c r="A178" s="315"/>
      <c r="B178" s="315"/>
      <c r="C178" s="315"/>
      <c r="D178" s="315"/>
      <c r="E178" s="315"/>
      <c r="F178" s="315"/>
      <c r="G178" s="1"/>
      <c r="H178" s="1"/>
      <c r="I178" s="1"/>
      <c r="J178" s="1"/>
      <c r="K178" s="1"/>
      <c r="L178" s="1"/>
      <c r="M178" s="1"/>
      <c r="N178" s="1"/>
      <c r="O178" s="1"/>
      <c r="P178" s="1"/>
      <c r="Q178" s="1"/>
      <c r="R178" s="1"/>
    </row>
    <row r="179" spans="1:18" s="13" customFormat="1" ht="15" customHeight="1" x14ac:dyDescent="0.2">
      <c r="A179" s="315"/>
      <c r="B179" s="315"/>
      <c r="C179" s="315"/>
      <c r="D179" s="315"/>
      <c r="E179" s="315"/>
      <c r="F179" s="315"/>
      <c r="G179" s="1"/>
      <c r="H179" s="1"/>
      <c r="I179" s="1"/>
      <c r="J179" s="1"/>
      <c r="K179" s="1"/>
      <c r="L179" s="1"/>
      <c r="M179" s="1"/>
      <c r="N179" s="1"/>
      <c r="O179" s="1"/>
      <c r="P179" s="1"/>
      <c r="Q179" s="1"/>
      <c r="R179" s="1"/>
    </row>
    <row r="180" spans="1:18" s="13" customFormat="1" ht="15" customHeight="1" x14ac:dyDescent="0.2">
      <c r="A180" s="315"/>
      <c r="B180" s="315"/>
      <c r="C180" s="315"/>
      <c r="D180" s="315"/>
      <c r="E180" s="315"/>
      <c r="F180" s="315"/>
      <c r="G180" s="1"/>
      <c r="H180" s="1"/>
      <c r="I180" s="1"/>
      <c r="J180" s="1"/>
      <c r="K180" s="1"/>
      <c r="L180" s="1"/>
      <c r="M180" s="1"/>
      <c r="N180" s="1"/>
      <c r="O180" s="1"/>
      <c r="P180" s="1"/>
      <c r="Q180" s="1"/>
      <c r="R180" s="1"/>
    </row>
    <row r="181" spans="1:18" s="13" customFormat="1" ht="15" customHeight="1" x14ac:dyDescent="0.2">
      <c r="A181" s="315"/>
      <c r="B181" s="315"/>
      <c r="C181" s="315"/>
      <c r="D181" s="315"/>
      <c r="E181" s="315"/>
      <c r="F181" s="315"/>
      <c r="G181" s="1"/>
      <c r="H181" s="1"/>
      <c r="I181" s="1"/>
      <c r="J181" s="1"/>
      <c r="K181" s="1"/>
      <c r="L181" s="1"/>
      <c r="M181" s="1"/>
      <c r="N181" s="1"/>
      <c r="O181" s="1"/>
      <c r="P181" s="1"/>
      <c r="Q181" s="1"/>
      <c r="R181" s="1"/>
    </row>
    <row r="182" spans="1:18" s="13" customFormat="1" ht="15" customHeight="1" x14ac:dyDescent="0.2">
      <c r="A182" s="315"/>
      <c r="B182" s="315"/>
      <c r="C182" s="315"/>
      <c r="D182" s="315"/>
      <c r="E182" s="315"/>
      <c r="F182" s="315"/>
      <c r="G182" s="1"/>
      <c r="H182" s="1"/>
      <c r="I182" s="1"/>
      <c r="J182" s="1"/>
      <c r="K182" s="1"/>
      <c r="L182" s="1"/>
      <c r="M182" s="1"/>
      <c r="N182" s="1"/>
      <c r="O182" s="1"/>
      <c r="P182" s="1"/>
      <c r="Q182" s="1"/>
      <c r="R182" s="1"/>
    </row>
    <row r="183" spans="1:18" s="13" customFormat="1" ht="15" customHeight="1" x14ac:dyDescent="0.2">
      <c r="A183" s="315"/>
      <c r="B183" s="315"/>
      <c r="C183" s="315"/>
      <c r="D183" s="315"/>
      <c r="E183" s="315"/>
      <c r="F183" s="315"/>
      <c r="G183" s="1"/>
      <c r="H183" s="1"/>
      <c r="I183" s="1"/>
      <c r="J183" s="1"/>
      <c r="K183" s="1"/>
      <c r="L183" s="1"/>
      <c r="M183" s="1"/>
      <c r="N183" s="1"/>
      <c r="O183" s="1"/>
      <c r="P183" s="1"/>
      <c r="Q183" s="1"/>
      <c r="R183" s="1"/>
    </row>
    <row r="184" spans="1:18" s="13" customFormat="1" ht="15" customHeight="1" x14ac:dyDescent="0.2">
      <c r="A184" s="315"/>
      <c r="B184" s="315"/>
      <c r="C184" s="315"/>
      <c r="D184" s="315"/>
      <c r="E184" s="315"/>
      <c r="F184" s="315"/>
      <c r="G184" s="1"/>
      <c r="H184" s="1"/>
      <c r="I184" s="1"/>
      <c r="J184" s="1"/>
      <c r="K184" s="1"/>
      <c r="L184" s="1"/>
      <c r="M184" s="1"/>
      <c r="N184" s="1"/>
      <c r="O184" s="1"/>
      <c r="P184" s="1"/>
      <c r="Q184" s="1"/>
      <c r="R184" s="1"/>
    </row>
    <row r="185" spans="1:18" s="13" customFormat="1" ht="15" customHeight="1" x14ac:dyDescent="0.2">
      <c r="A185" s="315"/>
      <c r="B185" s="315"/>
      <c r="C185" s="315"/>
      <c r="D185" s="315"/>
      <c r="E185" s="315"/>
      <c r="F185" s="315"/>
      <c r="G185" s="1"/>
      <c r="H185" s="1"/>
      <c r="I185" s="1"/>
      <c r="J185" s="1"/>
      <c r="K185" s="1"/>
      <c r="L185" s="1"/>
      <c r="M185" s="1"/>
      <c r="N185" s="1"/>
      <c r="O185" s="1"/>
      <c r="P185" s="1"/>
      <c r="Q185" s="1"/>
      <c r="R185" s="1"/>
    </row>
    <row r="186" spans="1:18" s="13" customFormat="1" ht="15" customHeight="1" x14ac:dyDescent="0.2">
      <c r="A186" s="315"/>
      <c r="B186" s="315"/>
      <c r="C186" s="315"/>
      <c r="D186" s="315"/>
      <c r="E186" s="315"/>
      <c r="F186" s="315"/>
      <c r="G186" s="1"/>
      <c r="H186" s="1"/>
      <c r="I186" s="1"/>
      <c r="J186" s="1"/>
      <c r="K186" s="1"/>
      <c r="L186" s="1"/>
      <c r="M186" s="1"/>
      <c r="N186" s="1"/>
      <c r="O186" s="1"/>
      <c r="P186" s="1"/>
      <c r="Q186" s="1"/>
      <c r="R186" s="1"/>
    </row>
    <row r="187" spans="1:18" s="13" customFormat="1" ht="15" customHeight="1" x14ac:dyDescent="0.2">
      <c r="A187" s="315"/>
      <c r="B187" s="315"/>
      <c r="C187" s="315"/>
      <c r="D187" s="315"/>
      <c r="E187" s="315"/>
      <c r="F187" s="315"/>
      <c r="G187" s="1"/>
      <c r="H187" s="1"/>
      <c r="I187" s="1"/>
      <c r="J187" s="1"/>
      <c r="K187" s="1"/>
      <c r="L187" s="1"/>
      <c r="M187" s="1"/>
      <c r="N187" s="1"/>
      <c r="O187" s="1"/>
      <c r="P187" s="1"/>
      <c r="Q187" s="1"/>
      <c r="R187" s="1"/>
    </row>
    <row r="188" spans="1:18" s="13" customFormat="1" ht="15" customHeight="1" x14ac:dyDescent="0.2">
      <c r="A188" s="315"/>
      <c r="B188" s="315"/>
      <c r="C188" s="315"/>
      <c r="D188" s="315"/>
      <c r="E188" s="315"/>
      <c r="F188" s="315"/>
      <c r="G188" s="1"/>
      <c r="H188" s="1"/>
      <c r="I188" s="1"/>
      <c r="J188" s="1"/>
      <c r="K188" s="1"/>
      <c r="L188" s="1"/>
      <c r="M188" s="1"/>
      <c r="N188" s="1"/>
      <c r="O188" s="1"/>
      <c r="P188" s="1"/>
      <c r="Q188" s="1"/>
      <c r="R188" s="1"/>
    </row>
    <row r="189" spans="1:18" s="13" customFormat="1" ht="15" customHeight="1" x14ac:dyDescent="0.2">
      <c r="A189" s="315"/>
      <c r="B189" s="315"/>
      <c r="C189" s="315"/>
      <c r="D189" s="315"/>
      <c r="E189" s="315"/>
      <c r="F189" s="315"/>
      <c r="G189" s="1"/>
      <c r="H189" s="1"/>
      <c r="I189" s="1"/>
      <c r="J189" s="1"/>
      <c r="K189" s="1"/>
      <c r="L189" s="1"/>
      <c r="M189" s="1"/>
      <c r="N189" s="1"/>
      <c r="O189" s="1"/>
      <c r="P189" s="1"/>
      <c r="Q189" s="1"/>
      <c r="R189" s="1"/>
    </row>
    <row r="190" spans="1:18" s="13" customFormat="1" ht="15" customHeight="1" x14ac:dyDescent="0.2">
      <c r="A190" s="315"/>
      <c r="B190" s="315"/>
      <c r="C190" s="315"/>
      <c r="D190" s="315"/>
      <c r="E190" s="315"/>
      <c r="F190" s="315"/>
      <c r="G190" s="1"/>
      <c r="H190" s="1"/>
      <c r="I190" s="1"/>
      <c r="J190" s="1"/>
      <c r="K190" s="1"/>
      <c r="L190" s="1"/>
      <c r="M190" s="1"/>
      <c r="N190" s="1"/>
      <c r="O190" s="1"/>
      <c r="P190" s="1"/>
      <c r="Q190" s="1"/>
      <c r="R190" s="1"/>
    </row>
    <row r="191" spans="1:18" s="13" customFormat="1" ht="15" customHeight="1" x14ac:dyDescent="0.2">
      <c r="A191" s="315"/>
      <c r="B191" s="315"/>
      <c r="C191" s="315"/>
      <c r="D191" s="315"/>
      <c r="E191" s="315"/>
      <c r="F191" s="315"/>
      <c r="G191" s="1"/>
      <c r="H191" s="1"/>
      <c r="I191" s="1"/>
      <c r="J191" s="1"/>
      <c r="K191" s="1"/>
      <c r="L191" s="1"/>
      <c r="M191" s="1"/>
      <c r="N191" s="1"/>
      <c r="O191" s="1"/>
      <c r="P191" s="1"/>
      <c r="Q191" s="1"/>
      <c r="R191" s="1"/>
    </row>
    <row r="192" spans="1:18" s="13" customFormat="1" ht="15" customHeight="1" x14ac:dyDescent="0.2">
      <c r="A192" s="315"/>
      <c r="B192" s="315"/>
      <c r="C192" s="315"/>
      <c r="D192" s="315"/>
      <c r="E192" s="315"/>
      <c r="F192" s="315"/>
      <c r="G192" s="1"/>
      <c r="H192" s="1"/>
      <c r="I192" s="1"/>
      <c r="J192" s="1"/>
      <c r="K192" s="1"/>
      <c r="L192" s="1"/>
      <c r="M192" s="1"/>
      <c r="N192" s="1"/>
      <c r="O192" s="1"/>
      <c r="P192" s="1"/>
      <c r="Q192" s="1"/>
      <c r="R192" s="1"/>
    </row>
    <row r="193" spans="1:18" s="13" customFormat="1" ht="15" customHeight="1" x14ac:dyDescent="0.2">
      <c r="A193" s="315"/>
      <c r="B193" s="315"/>
      <c r="C193" s="315"/>
      <c r="D193" s="315"/>
      <c r="E193" s="315"/>
      <c r="F193" s="315"/>
      <c r="G193" s="1"/>
      <c r="H193" s="1"/>
      <c r="I193" s="1"/>
      <c r="J193" s="1"/>
      <c r="K193" s="1"/>
      <c r="L193" s="1"/>
      <c r="M193" s="1"/>
      <c r="N193" s="1"/>
      <c r="O193" s="1"/>
      <c r="P193" s="1"/>
      <c r="Q193" s="1"/>
      <c r="R193" s="1"/>
    </row>
    <row r="194" spans="1:18" s="13" customFormat="1" ht="15" customHeight="1" x14ac:dyDescent="0.2">
      <c r="A194" s="315"/>
      <c r="B194" s="315"/>
      <c r="C194" s="315"/>
      <c r="D194" s="315"/>
      <c r="E194" s="315"/>
      <c r="F194" s="315"/>
      <c r="G194" s="1"/>
      <c r="H194" s="1"/>
      <c r="I194" s="1"/>
      <c r="J194" s="1"/>
      <c r="K194" s="1"/>
      <c r="L194" s="1"/>
      <c r="M194" s="1"/>
      <c r="N194" s="1"/>
      <c r="O194" s="1"/>
      <c r="P194" s="1"/>
      <c r="Q194" s="1"/>
      <c r="R194" s="1"/>
    </row>
    <row r="195" spans="1:18" s="13" customFormat="1" ht="15" customHeight="1" x14ac:dyDescent="0.2">
      <c r="A195" s="315"/>
      <c r="B195" s="315"/>
      <c r="C195" s="315"/>
      <c r="D195" s="315"/>
      <c r="E195" s="315"/>
      <c r="F195" s="315"/>
      <c r="G195" s="1"/>
      <c r="H195" s="1"/>
      <c r="I195" s="1"/>
      <c r="J195" s="1"/>
      <c r="K195" s="1"/>
      <c r="L195" s="1"/>
      <c r="M195" s="1"/>
      <c r="N195" s="1"/>
      <c r="O195" s="1"/>
      <c r="P195" s="1"/>
      <c r="Q195" s="1"/>
      <c r="R195" s="1"/>
    </row>
    <row r="196" spans="1:18" s="13" customFormat="1" ht="15" customHeight="1" x14ac:dyDescent="0.2">
      <c r="A196" s="315"/>
      <c r="B196" s="315"/>
      <c r="C196" s="315"/>
      <c r="D196" s="315"/>
      <c r="E196" s="315"/>
      <c r="F196" s="315"/>
      <c r="G196" s="1"/>
      <c r="H196" s="1"/>
      <c r="I196" s="1"/>
      <c r="J196" s="1"/>
      <c r="K196" s="1"/>
      <c r="L196" s="1"/>
      <c r="M196" s="1"/>
      <c r="N196" s="1"/>
      <c r="O196" s="1"/>
      <c r="P196" s="1"/>
      <c r="Q196" s="1"/>
      <c r="R196" s="1"/>
    </row>
    <row r="197" spans="1:18" s="13" customFormat="1" ht="15" customHeight="1" x14ac:dyDescent="0.2">
      <c r="A197" s="315"/>
      <c r="B197" s="315"/>
      <c r="C197" s="315"/>
      <c r="D197" s="315"/>
      <c r="E197" s="315"/>
      <c r="F197" s="315"/>
      <c r="G197" s="1"/>
      <c r="H197" s="1"/>
      <c r="I197" s="1"/>
      <c r="J197" s="1"/>
      <c r="K197" s="1"/>
      <c r="L197" s="1"/>
      <c r="M197" s="1"/>
      <c r="N197" s="1"/>
      <c r="O197" s="1"/>
      <c r="P197" s="1"/>
      <c r="Q197" s="1"/>
      <c r="R197" s="1"/>
    </row>
    <row r="198" spans="1:18" s="13" customFormat="1" ht="15" customHeight="1" x14ac:dyDescent="0.2">
      <c r="A198" s="315"/>
      <c r="B198" s="315"/>
      <c r="C198" s="315"/>
      <c r="D198" s="315"/>
      <c r="E198" s="315"/>
      <c r="F198" s="315"/>
      <c r="G198" s="1"/>
      <c r="H198" s="1"/>
      <c r="I198" s="1"/>
      <c r="J198" s="1"/>
      <c r="K198" s="1"/>
      <c r="L198" s="1"/>
      <c r="M198" s="1"/>
      <c r="N198" s="1"/>
      <c r="O198" s="1"/>
      <c r="P198" s="1"/>
      <c r="Q198" s="1"/>
      <c r="R198" s="1"/>
    </row>
    <row r="199" spans="1:18" s="13" customFormat="1" ht="15" customHeight="1" x14ac:dyDescent="0.2">
      <c r="A199" s="315"/>
      <c r="B199" s="315"/>
      <c r="C199" s="315"/>
      <c r="D199" s="315"/>
      <c r="E199" s="315"/>
      <c r="F199" s="315"/>
      <c r="G199" s="1"/>
      <c r="H199" s="1"/>
      <c r="I199" s="1"/>
      <c r="J199" s="1"/>
      <c r="K199" s="1"/>
      <c r="L199" s="1"/>
      <c r="M199" s="1"/>
      <c r="N199" s="1"/>
      <c r="O199" s="1"/>
      <c r="P199" s="1"/>
      <c r="Q199" s="1"/>
      <c r="R199" s="1"/>
    </row>
    <row r="200" spans="1:18" s="13" customFormat="1" ht="15" customHeight="1" x14ac:dyDescent="0.2">
      <c r="A200" s="315"/>
      <c r="B200" s="315"/>
      <c r="C200" s="315"/>
      <c r="D200" s="315"/>
      <c r="E200" s="315"/>
      <c r="F200" s="315"/>
      <c r="G200" s="1"/>
      <c r="H200" s="1"/>
      <c r="I200" s="1"/>
      <c r="J200" s="1"/>
      <c r="K200" s="1"/>
      <c r="L200" s="1"/>
      <c r="M200" s="1"/>
      <c r="N200" s="1"/>
      <c r="O200" s="1"/>
      <c r="P200" s="1"/>
      <c r="Q200" s="1"/>
      <c r="R200" s="1"/>
    </row>
    <row r="201" spans="1:18" s="13" customFormat="1" ht="15" customHeight="1" x14ac:dyDescent="0.2">
      <c r="A201" s="315"/>
      <c r="B201" s="315"/>
      <c r="C201" s="315"/>
      <c r="D201" s="315"/>
      <c r="E201" s="315"/>
      <c r="F201" s="315"/>
      <c r="G201" s="1"/>
      <c r="H201" s="1"/>
      <c r="I201" s="1"/>
      <c r="J201" s="1"/>
      <c r="K201" s="1"/>
      <c r="L201" s="1"/>
      <c r="M201" s="1"/>
      <c r="N201" s="1"/>
      <c r="O201" s="1"/>
      <c r="P201" s="1"/>
      <c r="Q201" s="1"/>
      <c r="R201" s="1"/>
    </row>
    <row r="202" spans="1:18" s="13" customFormat="1" ht="15" customHeight="1" x14ac:dyDescent="0.2">
      <c r="A202" s="835"/>
      <c r="B202" s="835"/>
      <c r="C202" s="835"/>
      <c r="D202" s="835"/>
      <c r="E202" s="835"/>
      <c r="F202" s="835"/>
      <c r="G202" s="835"/>
      <c r="H202" s="835"/>
      <c r="I202" s="835"/>
      <c r="J202" s="835"/>
      <c r="K202" s="835"/>
      <c r="L202" s="835"/>
      <c r="M202" s="835"/>
      <c r="N202" s="835"/>
      <c r="O202" s="835"/>
      <c r="P202" s="835"/>
      <c r="Q202" s="835"/>
      <c r="R202" s="835"/>
    </row>
    <row r="203" spans="1:18" s="13" customFormat="1" ht="21.75" customHeight="1" x14ac:dyDescent="0.2">
      <c r="A203" s="2400" t="s">
        <v>5</v>
      </c>
      <c r="B203" s="2400"/>
      <c r="C203" s="2400"/>
      <c r="D203" s="2400"/>
      <c r="E203" s="2400"/>
      <c r="F203" s="2400"/>
      <c r="G203" s="315"/>
      <c r="H203" s="315"/>
      <c r="I203" s="315"/>
      <c r="J203" s="315"/>
      <c r="K203" s="315"/>
      <c r="L203" s="315"/>
      <c r="M203" s="315"/>
      <c r="N203" s="315"/>
      <c r="O203" s="315"/>
      <c r="P203" s="315"/>
      <c r="Q203" s="315"/>
      <c r="R203" s="315"/>
    </row>
    <row r="204" spans="1:18" s="13" customFormat="1" ht="15" customHeight="1" x14ac:dyDescent="0.2">
      <c r="A204" s="315"/>
      <c r="B204" s="315"/>
      <c r="C204" s="315"/>
      <c r="D204" s="315"/>
      <c r="E204" s="315"/>
      <c r="F204" s="315"/>
      <c r="G204" s="315"/>
      <c r="H204" s="315"/>
      <c r="I204" s="315"/>
      <c r="J204" s="315"/>
      <c r="K204" s="315"/>
      <c r="L204" s="315"/>
      <c r="M204" s="315"/>
      <c r="N204" s="315"/>
      <c r="O204" s="315"/>
      <c r="P204" s="315"/>
      <c r="Q204" s="315"/>
      <c r="R204" s="315"/>
    </row>
    <row r="205" spans="1:18" s="13" customFormat="1" ht="21" customHeight="1" x14ac:dyDescent="0.2">
      <c r="A205" s="315"/>
      <c r="B205" s="2436" t="s">
        <v>1684</v>
      </c>
      <c r="C205" s="2436"/>
      <c r="D205" s="2436"/>
      <c r="E205" s="2437"/>
      <c r="F205" s="910" t="s">
        <v>1662</v>
      </c>
      <c r="G205" s="315"/>
      <c r="H205" s="315"/>
      <c r="I205" s="315"/>
      <c r="J205" s="315"/>
      <c r="K205" s="315"/>
      <c r="L205" s="315"/>
      <c r="M205" s="315"/>
      <c r="N205" s="315"/>
      <c r="O205" s="315"/>
      <c r="P205" s="315"/>
      <c r="Q205" s="315"/>
      <c r="R205" s="315"/>
    </row>
    <row r="206" spans="1:18" s="13" customFormat="1" ht="18" customHeight="1" x14ac:dyDescent="0.2">
      <c r="A206" s="315"/>
      <c r="B206" s="2426" t="s">
        <v>1666</v>
      </c>
      <c r="C206" s="2426"/>
      <c r="D206" s="2426"/>
      <c r="E206" s="2426"/>
      <c r="F206" s="2426"/>
      <c r="G206" s="315"/>
      <c r="H206" s="315"/>
      <c r="I206" s="315"/>
      <c r="J206" s="315"/>
      <c r="K206" s="315"/>
      <c r="L206" s="315"/>
      <c r="M206" s="315"/>
      <c r="N206" s="315"/>
      <c r="O206" s="315"/>
      <c r="P206" s="315"/>
      <c r="Q206" s="315"/>
      <c r="R206" s="315"/>
    </row>
    <row r="207" spans="1:18" s="13" customFormat="1" ht="16.5" customHeight="1" x14ac:dyDescent="0.2">
      <c r="A207" s="315"/>
      <c r="B207" s="2425" t="s">
        <v>1667</v>
      </c>
      <c r="C207" s="2425"/>
      <c r="D207" s="2425"/>
      <c r="E207" s="2425"/>
      <c r="F207" s="904">
        <v>46</v>
      </c>
      <c r="G207" s="315"/>
      <c r="H207" s="315"/>
      <c r="I207" s="315"/>
      <c r="J207" s="315"/>
      <c r="K207" s="315"/>
      <c r="L207" s="315"/>
      <c r="M207" s="315"/>
      <c r="N207" s="315"/>
      <c r="O207" s="315"/>
      <c r="P207" s="315"/>
      <c r="Q207" s="315"/>
      <c r="R207" s="315"/>
    </row>
    <row r="208" spans="1:18" s="13" customFormat="1" ht="16.5" customHeight="1" x14ac:dyDescent="0.2">
      <c r="A208" s="315"/>
      <c r="B208" s="2425" t="s">
        <v>1668</v>
      </c>
      <c r="C208" s="2425"/>
      <c r="D208" s="2425"/>
      <c r="E208" s="2425"/>
      <c r="F208" s="904">
        <v>56</v>
      </c>
      <c r="G208" s="315"/>
      <c r="H208" s="315"/>
      <c r="I208" s="315"/>
      <c r="J208" s="315"/>
      <c r="K208" s="315"/>
      <c r="L208" s="315"/>
      <c r="M208" s="315"/>
      <c r="N208" s="315"/>
      <c r="O208" s="315"/>
      <c r="P208" s="315"/>
      <c r="Q208" s="315"/>
      <c r="R208" s="315"/>
    </row>
    <row r="209" spans="1:18" s="13" customFormat="1" ht="16.5" customHeight="1" x14ac:dyDescent="0.2">
      <c r="A209" s="315"/>
      <c r="B209" s="2425" t="s">
        <v>1669</v>
      </c>
      <c r="C209" s="2425"/>
      <c r="D209" s="2425"/>
      <c r="E209" s="2425"/>
      <c r="F209" s="904">
        <v>82</v>
      </c>
      <c r="G209" s="315"/>
      <c r="H209" s="315"/>
      <c r="I209" s="315"/>
      <c r="J209" s="315"/>
      <c r="K209" s="315"/>
      <c r="L209" s="315"/>
      <c r="M209" s="315"/>
      <c r="N209" s="315"/>
      <c r="O209" s="315"/>
      <c r="P209" s="315"/>
      <c r="Q209" s="315"/>
      <c r="R209" s="315"/>
    </row>
    <row r="210" spans="1:18" s="13" customFormat="1" ht="18" customHeight="1" x14ac:dyDescent="0.2">
      <c r="A210" s="315"/>
      <c r="B210" s="2426" t="s">
        <v>1665</v>
      </c>
      <c r="C210" s="2426"/>
      <c r="D210" s="2426"/>
      <c r="E210" s="2426"/>
      <c r="F210" s="2426"/>
      <c r="G210" s="315"/>
      <c r="H210" s="315"/>
      <c r="I210" s="315"/>
      <c r="J210" s="315"/>
      <c r="K210" s="315"/>
      <c r="L210" s="315"/>
      <c r="M210" s="315"/>
      <c r="N210" s="315"/>
      <c r="O210" s="315"/>
      <c r="P210" s="315"/>
      <c r="Q210" s="315"/>
      <c r="R210" s="315"/>
    </row>
    <row r="211" spans="1:18" s="13" customFormat="1" ht="16.5" customHeight="1" x14ac:dyDescent="0.2">
      <c r="A211" s="315"/>
      <c r="B211" s="2425" t="s">
        <v>1663</v>
      </c>
      <c r="C211" s="2425"/>
      <c r="D211" s="2425"/>
      <c r="E211" s="2425"/>
      <c r="F211" s="904">
        <v>21</v>
      </c>
      <c r="G211" s="315"/>
      <c r="H211" s="315"/>
      <c r="I211" s="315"/>
      <c r="J211" s="315"/>
      <c r="K211" s="315"/>
      <c r="L211" s="315"/>
      <c r="M211" s="315"/>
      <c r="N211" s="315"/>
      <c r="O211" s="315"/>
      <c r="P211" s="315"/>
      <c r="Q211" s="315"/>
      <c r="R211" s="315"/>
    </row>
    <row r="212" spans="1:18" s="13" customFormat="1" ht="16.5" customHeight="1" x14ac:dyDescent="0.2">
      <c r="A212" s="315"/>
      <c r="B212" s="2425" t="s">
        <v>1664</v>
      </c>
      <c r="C212" s="2425"/>
      <c r="D212" s="2425"/>
      <c r="E212" s="2425"/>
      <c r="F212" s="904">
        <v>84</v>
      </c>
      <c r="G212" s="315"/>
      <c r="H212" s="315"/>
      <c r="I212" s="315"/>
      <c r="J212" s="315"/>
      <c r="K212" s="315"/>
      <c r="L212" s="315"/>
      <c r="M212" s="315"/>
      <c r="N212" s="315"/>
      <c r="O212" s="315"/>
      <c r="P212" s="315"/>
      <c r="Q212" s="315"/>
      <c r="R212" s="315"/>
    </row>
    <row r="213" spans="1:18" s="13" customFormat="1" ht="16.5" customHeight="1" x14ac:dyDescent="0.2">
      <c r="A213" s="315"/>
      <c r="B213" s="2425" t="s">
        <v>1678</v>
      </c>
      <c r="C213" s="2425"/>
      <c r="D213" s="2425"/>
      <c r="E213" s="2425"/>
      <c r="F213" s="904">
        <v>28</v>
      </c>
      <c r="G213" s="315"/>
      <c r="H213" s="315"/>
      <c r="I213" s="315"/>
      <c r="J213" s="315"/>
      <c r="K213" s="315"/>
      <c r="L213" s="315"/>
      <c r="M213" s="315"/>
      <c r="N213" s="315"/>
      <c r="O213" s="315"/>
      <c r="P213" s="315"/>
      <c r="Q213" s="315"/>
      <c r="R213" s="315"/>
    </row>
    <row r="214" spans="1:18" s="13" customFormat="1" ht="16.5" customHeight="1" x14ac:dyDescent="0.2">
      <c r="A214" s="315"/>
      <c r="B214" s="2425" t="s">
        <v>1679</v>
      </c>
      <c r="C214" s="2425"/>
      <c r="D214" s="2425"/>
      <c r="E214" s="2425"/>
      <c r="F214" s="904">
        <v>37</v>
      </c>
      <c r="G214" s="315"/>
      <c r="H214" s="315"/>
      <c r="I214" s="315"/>
      <c r="J214" s="315"/>
      <c r="K214" s="315"/>
      <c r="L214" s="315"/>
      <c r="M214" s="315"/>
      <c r="N214" s="315"/>
      <c r="O214" s="315"/>
      <c r="P214" s="315"/>
      <c r="Q214" s="315"/>
      <c r="R214" s="315"/>
    </row>
    <row r="215" spans="1:18" s="13" customFormat="1" ht="16.5" customHeight="1" x14ac:dyDescent="0.2">
      <c r="A215" s="315"/>
      <c r="B215" s="2425" t="s">
        <v>1680</v>
      </c>
      <c r="C215" s="2425"/>
      <c r="D215" s="2425"/>
      <c r="E215" s="2425"/>
      <c r="F215" s="904">
        <v>79</v>
      </c>
      <c r="G215" s="315"/>
      <c r="H215" s="315"/>
      <c r="I215" s="315"/>
      <c r="J215" s="315"/>
      <c r="K215" s="315"/>
      <c r="L215" s="315"/>
      <c r="M215" s="315"/>
      <c r="N215" s="315"/>
      <c r="O215" s="315"/>
      <c r="P215" s="315"/>
      <c r="Q215" s="315"/>
      <c r="R215" s="315"/>
    </row>
    <row r="216" spans="1:18" s="13" customFormat="1" ht="18" customHeight="1" x14ac:dyDescent="0.2">
      <c r="A216" s="315"/>
      <c r="B216" s="2426" t="s">
        <v>1671</v>
      </c>
      <c r="C216" s="2426"/>
      <c r="D216" s="2426"/>
      <c r="E216" s="2426"/>
      <c r="F216" s="2426">
        <v>0.6</v>
      </c>
      <c r="G216" s="315"/>
      <c r="H216" s="315"/>
      <c r="I216" s="315"/>
      <c r="J216" s="315"/>
      <c r="K216" s="315"/>
      <c r="L216" s="315"/>
      <c r="M216" s="315"/>
      <c r="N216" s="315"/>
      <c r="O216" s="315"/>
      <c r="P216" s="315"/>
      <c r="Q216" s="315"/>
      <c r="R216" s="315"/>
    </row>
    <row r="217" spans="1:18" s="13" customFormat="1" ht="15" customHeight="1" x14ac:dyDescent="0.2">
      <c r="A217" s="315"/>
      <c r="B217" s="2425" t="s">
        <v>1682</v>
      </c>
      <c r="C217" s="2425"/>
      <c r="D217" s="2425"/>
      <c r="E217" s="2425"/>
      <c r="F217" s="904">
        <v>100</v>
      </c>
      <c r="G217" s="315"/>
      <c r="H217" s="315"/>
      <c r="I217" s="315"/>
      <c r="J217" s="315"/>
      <c r="K217" s="315"/>
      <c r="L217" s="315"/>
      <c r="M217" s="315"/>
      <c r="N217" s="315"/>
      <c r="O217" s="315"/>
      <c r="P217" s="315"/>
      <c r="Q217" s="315"/>
      <c r="R217" s="315"/>
    </row>
    <row r="218" spans="1:18" s="13" customFormat="1" ht="15" customHeight="1" x14ac:dyDescent="0.2">
      <c r="A218" s="315"/>
      <c r="B218" s="2425" t="s">
        <v>1683</v>
      </c>
      <c r="C218" s="2425"/>
      <c r="D218" s="2425"/>
      <c r="E218" s="2425"/>
      <c r="F218" s="904">
        <v>107</v>
      </c>
      <c r="G218" s="315"/>
      <c r="H218" s="315"/>
      <c r="I218" s="315"/>
      <c r="J218" s="315"/>
      <c r="K218" s="315"/>
      <c r="L218" s="315"/>
      <c r="M218" s="315"/>
      <c r="N218" s="315"/>
      <c r="O218" s="315"/>
      <c r="P218" s="315"/>
      <c r="Q218" s="315"/>
      <c r="R218" s="315"/>
    </row>
    <row r="219" spans="1:18" s="13" customFormat="1" ht="18" customHeight="1" x14ac:dyDescent="0.2">
      <c r="A219" s="315"/>
      <c r="B219" s="2426" t="s">
        <v>1681</v>
      </c>
      <c r="C219" s="2426"/>
      <c r="D219" s="2426"/>
      <c r="E219" s="2426"/>
      <c r="F219" s="2426">
        <v>0.6</v>
      </c>
      <c r="G219" s="315"/>
      <c r="H219" s="315"/>
      <c r="I219" s="315"/>
      <c r="J219" s="315"/>
      <c r="K219" s="315"/>
      <c r="L219" s="315"/>
      <c r="M219" s="315"/>
      <c r="N219" s="315"/>
      <c r="O219" s="315"/>
      <c r="P219" s="315"/>
      <c r="Q219" s="315"/>
      <c r="R219" s="315"/>
    </row>
    <row r="220" spans="1:18" s="13" customFormat="1" ht="15" customHeight="1" x14ac:dyDescent="0.2">
      <c r="A220" s="315"/>
      <c r="B220" s="2425" t="s">
        <v>1675</v>
      </c>
      <c r="C220" s="2425"/>
      <c r="D220" s="2425"/>
      <c r="E220" s="2425"/>
      <c r="F220" s="904">
        <v>90</v>
      </c>
      <c r="G220" s="315"/>
      <c r="H220" s="315"/>
      <c r="I220" s="315"/>
      <c r="J220" s="315"/>
      <c r="K220" s="315"/>
      <c r="L220" s="315"/>
      <c r="M220" s="315"/>
      <c r="N220" s="315"/>
      <c r="O220" s="315"/>
      <c r="P220" s="315"/>
      <c r="Q220" s="315"/>
      <c r="R220" s="315"/>
    </row>
    <row r="221" spans="1:18" s="13" customFormat="1" ht="15" customHeight="1" x14ac:dyDescent="0.2">
      <c r="A221" s="315"/>
      <c r="B221" s="2425" t="s">
        <v>1677</v>
      </c>
      <c r="C221" s="2425"/>
      <c r="D221" s="2425"/>
      <c r="E221" s="2425"/>
      <c r="F221" s="904">
        <v>36</v>
      </c>
      <c r="G221" s="315"/>
      <c r="H221" s="315"/>
      <c r="I221" s="315"/>
      <c r="J221" s="315"/>
      <c r="K221" s="315"/>
      <c r="L221" s="315"/>
      <c r="M221" s="315"/>
      <c r="N221" s="315"/>
      <c r="O221" s="315"/>
      <c r="P221" s="315"/>
      <c r="Q221" s="315"/>
      <c r="R221" s="315"/>
    </row>
    <row r="222" spans="1:18" s="13" customFormat="1" ht="15" customHeight="1" x14ac:dyDescent="0.2">
      <c r="A222" s="315"/>
      <c r="B222" s="2425" t="s">
        <v>1676</v>
      </c>
      <c r="C222" s="2425"/>
      <c r="D222" s="2425"/>
      <c r="E222" s="2425"/>
      <c r="F222" s="904">
        <v>25</v>
      </c>
      <c r="G222" s="315"/>
      <c r="H222" s="315"/>
      <c r="I222" s="315"/>
      <c r="J222" s="315"/>
      <c r="K222" s="315"/>
      <c r="L222" s="315"/>
      <c r="M222" s="315"/>
      <c r="N222" s="315"/>
      <c r="O222" s="315"/>
      <c r="P222" s="315"/>
      <c r="Q222" s="315"/>
      <c r="R222" s="315"/>
    </row>
    <row r="223" spans="1:18" s="13" customFormat="1" ht="18" customHeight="1" x14ac:dyDescent="0.2">
      <c r="A223" s="315"/>
      <c r="B223" s="2426" t="s">
        <v>1670</v>
      </c>
      <c r="C223" s="2426"/>
      <c r="D223" s="2426"/>
      <c r="E223" s="2426"/>
      <c r="F223" s="2426">
        <v>0.6</v>
      </c>
      <c r="G223" s="315"/>
      <c r="H223" s="315"/>
      <c r="I223" s="315"/>
      <c r="J223" s="315"/>
      <c r="K223" s="315"/>
      <c r="L223" s="315"/>
      <c r="M223" s="315"/>
      <c r="N223" s="315"/>
      <c r="O223" s="315"/>
      <c r="P223" s="315"/>
      <c r="Q223" s="315"/>
      <c r="R223" s="315"/>
    </row>
    <row r="224" spans="1:18" s="13" customFormat="1" ht="15" customHeight="1" x14ac:dyDescent="0.25">
      <c r="A224" s="315"/>
      <c r="B224" s="2425" t="s">
        <v>1674</v>
      </c>
      <c r="C224" s="2425"/>
      <c r="D224" s="2425"/>
      <c r="E224" s="2425"/>
      <c r="F224" s="904">
        <v>26</v>
      </c>
      <c r="G224" s="315"/>
      <c r="H224" s="909"/>
      <c r="I224" s="315"/>
      <c r="J224" s="315"/>
      <c r="K224" s="315"/>
      <c r="L224" s="315"/>
      <c r="M224" s="315"/>
      <c r="N224" s="315"/>
      <c r="O224" s="315"/>
      <c r="P224" s="315"/>
      <c r="Q224" s="315"/>
      <c r="R224" s="315"/>
    </row>
    <row r="225" spans="1:18" s="13" customFormat="1" ht="15" customHeight="1" x14ac:dyDescent="0.2">
      <c r="A225" s="315"/>
      <c r="B225" s="2425" t="s">
        <v>1673</v>
      </c>
      <c r="C225" s="2425"/>
      <c r="D225" s="2425"/>
      <c r="E225" s="2425"/>
      <c r="F225" s="904">
        <v>22</v>
      </c>
      <c r="G225" s="315"/>
      <c r="H225" s="315"/>
      <c r="I225" s="315"/>
      <c r="J225" s="315"/>
      <c r="K225" s="315"/>
      <c r="L225" s="315"/>
      <c r="M225" s="315"/>
      <c r="N225" s="315"/>
      <c r="O225" s="315"/>
      <c r="P225" s="315"/>
      <c r="Q225" s="315"/>
      <c r="R225" s="315"/>
    </row>
    <row r="226" spans="1:18" s="13" customFormat="1" ht="15" customHeight="1" x14ac:dyDescent="0.2">
      <c r="A226" s="315"/>
      <c r="B226" s="931" t="s">
        <v>1685</v>
      </c>
      <c r="C226" s="315"/>
      <c r="D226" s="315"/>
      <c r="E226" s="315"/>
      <c r="F226" s="315"/>
      <c r="G226" s="315"/>
      <c r="H226" s="315"/>
      <c r="I226" s="315"/>
      <c r="J226" s="315"/>
      <c r="K226" s="315"/>
      <c r="L226" s="315"/>
      <c r="M226" s="315"/>
      <c r="N226" s="315"/>
      <c r="O226" s="315"/>
      <c r="P226" s="315"/>
      <c r="Q226" s="315"/>
      <c r="R226" s="315"/>
    </row>
    <row r="227" spans="1:18" s="13" customFormat="1" ht="15" customHeight="1" x14ac:dyDescent="0.25">
      <c r="A227" s="315"/>
      <c r="B227" s="931" t="s">
        <v>1734</v>
      </c>
      <c r="C227" s="315"/>
      <c r="D227" s="315"/>
      <c r="E227" s="909" t="s">
        <v>1672</v>
      </c>
      <c r="F227" s="315"/>
      <c r="G227" s="315"/>
      <c r="H227" s="315"/>
      <c r="I227" s="315"/>
      <c r="J227" s="315"/>
      <c r="K227" s="315"/>
      <c r="L227" s="315"/>
      <c r="M227" s="315"/>
      <c r="N227" s="315"/>
      <c r="O227" s="315"/>
      <c r="P227" s="315"/>
      <c r="Q227" s="315"/>
      <c r="R227" s="315"/>
    </row>
    <row r="228" spans="1:18" s="13" customFormat="1" ht="15" customHeight="1" x14ac:dyDescent="0.2">
      <c r="A228" s="835"/>
      <c r="B228" s="835"/>
      <c r="C228" s="835"/>
      <c r="D228" s="835"/>
      <c r="E228" s="835"/>
      <c r="F228" s="835"/>
      <c r="G228" s="835"/>
      <c r="H228" s="835"/>
      <c r="I228" s="835"/>
      <c r="J228" s="835"/>
      <c r="K228" s="835"/>
      <c r="L228" s="835"/>
      <c r="M228" s="835"/>
      <c r="N228" s="835"/>
      <c r="O228" s="835"/>
      <c r="P228" s="835"/>
      <c r="Q228" s="835"/>
      <c r="R228" s="835"/>
    </row>
    <row r="229" spans="1:18" s="13" customFormat="1" ht="21.75" customHeight="1" x14ac:dyDescent="0.2">
      <c r="A229" s="2400" t="s">
        <v>236</v>
      </c>
      <c r="B229" s="2400"/>
      <c r="C229" s="2400"/>
      <c r="D229" s="2400"/>
      <c r="E229" s="2400"/>
      <c r="F229" s="2400"/>
      <c r="G229" s="1"/>
      <c r="H229" s="1"/>
      <c r="I229" s="1"/>
      <c r="J229" s="1"/>
      <c r="K229" s="1"/>
      <c r="L229" s="1"/>
      <c r="M229" s="1"/>
      <c r="N229" s="1"/>
      <c r="O229" s="1"/>
      <c r="P229" s="1"/>
      <c r="Q229" s="1"/>
      <c r="R229" s="1"/>
    </row>
    <row r="230" spans="1:18" s="13" customFormat="1" ht="15" customHeight="1" x14ac:dyDescent="0.2">
      <c r="A230" s="315"/>
      <c r="B230" s="315"/>
      <c r="C230" s="315"/>
      <c r="D230" s="315"/>
      <c r="E230" s="315"/>
      <c r="F230" s="315"/>
      <c r="G230" s="1"/>
      <c r="H230" s="1"/>
      <c r="I230" s="1"/>
      <c r="J230" s="1"/>
      <c r="K230" s="1"/>
      <c r="L230" s="1"/>
      <c r="M230" s="1"/>
      <c r="N230" s="1"/>
      <c r="O230" s="1"/>
      <c r="P230" s="1"/>
      <c r="Q230" s="1"/>
      <c r="R230" s="1"/>
    </row>
    <row r="231" spans="1:18" s="13" customFormat="1" ht="27" customHeight="1" x14ac:dyDescent="0.2">
      <c r="A231" s="315"/>
      <c r="B231" s="2436" t="s">
        <v>1716</v>
      </c>
      <c r="C231" s="2436"/>
      <c r="D231" s="2436"/>
      <c r="E231" s="2437"/>
      <c r="F231" s="910" t="s">
        <v>1717</v>
      </c>
      <c r="G231" s="1"/>
      <c r="H231" s="1"/>
      <c r="I231" s="1"/>
      <c r="J231" s="1"/>
      <c r="K231" s="1"/>
      <c r="L231" s="1"/>
      <c r="M231" s="1"/>
      <c r="N231" s="1"/>
      <c r="O231" s="1"/>
      <c r="P231" s="1"/>
      <c r="Q231" s="1"/>
      <c r="R231" s="1"/>
    </row>
    <row r="232" spans="1:18" s="13" customFormat="1" ht="16.5" customHeight="1" x14ac:dyDescent="0.2">
      <c r="A232" s="315"/>
      <c r="B232" s="2426" t="s">
        <v>1718</v>
      </c>
      <c r="C232" s="2426"/>
      <c r="D232" s="2426"/>
      <c r="E232" s="2426"/>
      <c r="F232" s="2426"/>
      <c r="G232" s="1"/>
      <c r="H232" s="1"/>
      <c r="I232" s="1"/>
      <c r="J232" s="1"/>
      <c r="K232" s="1"/>
      <c r="L232" s="1"/>
      <c r="M232" s="1"/>
      <c r="N232" s="1"/>
      <c r="O232" s="1"/>
      <c r="P232" s="1"/>
      <c r="Q232" s="1"/>
      <c r="R232" s="1"/>
    </row>
    <row r="233" spans="1:18" s="13" customFormat="1" ht="15" customHeight="1" x14ac:dyDescent="0.2">
      <c r="A233" s="315"/>
      <c r="B233" s="2425" t="s">
        <v>1719</v>
      </c>
      <c r="C233" s="2425"/>
      <c r="D233" s="2425"/>
      <c r="E233" s="2425"/>
      <c r="F233" s="906">
        <v>0.92</v>
      </c>
      <c r="G233" s="1"/>
      <c r="H233" s="1"/>
      <c r="I233" s="1"/>
      <c r="J233" s="1"/>
      <c r="K233" s="1"/>
      <c r="L233" s="1"/>
      <c r="M233" s="1"/>
      <c r="N233" s="1"/>
      <c r="O233" s="1"/>
      <c r="P233" s="1"/>
      <c r="Q233" s="1"/>
      <c r="R233" s="1"/>
    </row>
    <row r="234" spans="1:18" s="13" customFormat="1" ht="15" customHeight="1" x14ac:dyDescent="0.2">
      <c r="A234" s="315"/>
      <c r="B234" s="2425" t="s">
        <v>1720</v>
      </c>
      <c r="C234" s="2425"/>
      <c r="D234" s="2425"/>
      <c r="E234" s="2425"/>
      <c r="F234" s="906">
        <v>0.9</v>
      </c>
      <c r="G234" s="1"/>
      <c r="H234" s="1"/>
      <c r="I234" s="1"/>
      <c r="J234" s="1"/>
      <c r="K234" s="1"/>
      <c r="L234" s="1"/>
      <c r="M234" s="1"/>
      <c r="N234" s="1"/>
      <c r="O234" s="1"/>
      <c r="P234" s="1"/>
      <c r="Q234" s="1"/>
      <c r="R234" s="1"/>
    </row>
    <row r="235" spans="1:18" s="13" customFormat="1" ht="15" customHeight="1" x14ac:dyDescent="0.2">
      <c r="A235" s="315"/>
      <c r="B235" s="2425" t="s">
        <v>1721</v>
      </c>
      <c r="C235" s="2425"/>
      <c r="D235" s="2425"/>
      <c r="E235" s="2425"/>
      <c r="F235" s="906">
        <v>0.8</v>
      </c>
      <c r="G235" s="1"/>
      <c r="H235" s="1"/>
      <c r="I235" s="1"/>
      <c r="J235" s="1"/>
      <c r="K235" s="1"/>
      <c r="L235" s="1"/>
      <c r="M235" s="1"/>
      <c r="N235" s="1"/>
      <c r="O235" s="1"/>
      <c r="P235" s="1"/>
      <c r="Q235" s="1"/>
      <c r="R235" s="1"/>
    </row>
    <row r="236" spans="1:18" s="13" customFormat="1" ht="15" customHeight="1" x14ac:dyDescent="0.2">
      <c r="A236" s="315"/>
      <c r="B236" s="2425" t="s">
        <v>1722</v>
      </c>
      <c r="C236" s="2425"/>
      <c r="D236" s="2425"/>
      <c r="E236" s="2425"/>
      <c r="F236" s="906">
        <v>0.92</v>
      </c>
      <c r="G236" s="1"/>
      <c r="H236" s="1"/>
      <c r="I236" s="1"/>
      <c r="J236" s="1"/>
      <c r="K236" s="1"/>
      <c r="L236" s="1"/>
      <c r="M236" s="1"/>
      <c r="N236" s="1"/>
      <c r="O236" s="1"/>
      <c r="P236" s="1"/>
      <c r="Q236" s="1"/>
      <c r="R236" s="1"/>
    </row>
    <row r="237" spans="1:18" s="13" customFormat="1" ht="15" customHeight="1" x14ac:dyDescent="0.2">
      <c r="A237" s="315"/>
      <c r="B237" s="2425" t="s">
        <v>1723</v>
      </c>
      <c r="C237" s="2425"/>
      <c r="D237" s="2425"/>
      <c r="E237" s="2425"/>
      <c r="F237" s="906">
        <v>0.7</v>
      </c>
      <c r="G237" s="1"/>
      <c r="H237" s="1"/>
      <c r="I237" s="1"/>
      <c r="J237" s="1"/>
      <c r="K237" s="1"/>
      <c r="L237" s="1"/>
      <c r="M237" s="1"/>
      <c r="N237" s="1"/>
      <c r="O237" s="1"/>
      <c r="P237" s="1"/>
      <c r="Q237" s="1"/>
      <c r="R237" s="1"/>
    </row>
    <row r="238" spans="1:18" s="13" customFormat="1" ht="15" customHeight="1" x14ac:dyDescent="0.2">
      <c r="A238" s="315"/>
      <c r="B238" s="2425" t="s">
        <v>1724</v>
      </c>
      <c r="C238" s="2425"/>
      <c r="D238" s="2425"/>
      <c r="E238" s="2425"/>
      <c r="F238" s="906">
        <v>0.5</v>
      </c>
      <c r="G238" s="1"/>
      <c r="H238" s="1"/>
      <c r="I238" s="1"/>
      <c r="J238" s="1"/>
      <c r="K238" s="1"/>
      <c r="L238" s="1"/>
      <c r="M238" s="1"/>
      <c r="N238" s="1"/>
      <c r="O238" s="1"/>
      <c r="P238" s="1"/>
      <c r="Q238" s="1"/>
      <c r="R238" s="1"/>
    </row>
    <row r="239" spans="1:18" s="13" customFormat="1" ht="16.5" customHeight="1" x14ac:dyDescent="0.2">
      <c r="A239" s="315"/>
      <c r="B239" s="2426" t="s">
        <v>1725</v>
      </c>
      <c r="C239" s="2426"/>
      <c r="D239" s="2426"/>
      <c r="E239" s="2426"/>
      <c r="F239" s="2426"/>
      <c r="G239" s="1"/>
      <c r="H239" s="1"/>
      <c r="I239" s="1"/>
      <c r="J239" s="1"/>
      <c r="K239" s="1"/>
      <c r="L239" s="1"/>
      <c r="M239" s="1"/>
      <c r="N239" s="1"/>
      <c r="O239" s="1"/>
      <c r="P239" s="1"/>
      <c r="Q239" s="1"/>
      <c r="R239" s="1"/>
    </row>
    <row r="240" spans="1:18" s="13" customFormat="1" ht="15" customHeight="1" x14ac:dyDescent="0.2">
      <c r="A240" s="315"/>
      <c r="B240" s="2425" t="s">
        <v>1727</v>
      </c>
      <c r="C240" s="2425"/>
      <c r="D240" s="2425"/>
      <c r="E240" s="2425"/>
      <c r="F240" s="906">
        <v>0.1</v>
      </c>
      <c r="G240" s="1"/>
      <c r="H240" s="1"/>
      <c r="I240" s="1"/>
      <c r="J240" s="1"/>
      <c r="K240" s="1"/>
      <c r="L240" s="1"/>
      <c r="M240" s="1"/>
      <c r="N240" s="1"/>
      <c r="O240" s="1"/>
      <c r="P240" s="1"/>
      <c r="Q240" s="1"/>
      <c r="R240" s="1"/>
    </row>
    <row r="241" spans="1:18" s="13" customFormat="1" ht="15" customHeight="1" x14ac:dyDescent="0.2">
      <c r="A241" s="315"/>
      <c r="B241" s="2425" t="s">
        <v>1728</v>
      </c>
      <c r="C241" s="2425"/>
      <c r="D241" s="2425"/>
      <c r="E241" s="2425"/>
      <c r="F241" s="906">
        <v>0.15</v>
      </c>
      <c r="G241" s="1"/>
      <c r="H241" s="1"/>
      <c r="I241" s="1"/>
      <c r="J241" s="1"/>
      <c r="K241" s="1"/>
      <c r="L241" s="1"/>
      <c r="M241" s="1"/>
      <c r="N241" s="1"/>
      <c r="O241" s="1"/>
      <c r="P241" s="1"/>
      <c r="Q241" s="1"/>
      <c r="R241" s="1"/>
    </row>
    <row r="242" spans="1:18" s="13" customFormat="1" ht="15" customHeight="1" x14ac:dyDescent="0.2">
      <c r="A242" s="315"/>
      <c r="B242" s="2425" t="s">
        <v>1729</v>
      </c>
      <c r="C242" s="2425"/>
      <c r="D242" s="2425"/>
      <c r="E242" s="2425"/>
      <c r="F242" s="906">
        <v>0.2</v>
      </c>
      <c r="G242" s="1"/>
      <c r="H242" s="1"/>
      <c r="I242" s="1"/>
      <c r="J242" s="1"/>
      <c r="K242" s="1"/>
      <c r="L242" s="1"/>
      <c r="M242" s="1"/>
      <c r="N242" s="1"/>
      <c r="O242" s="1"/>
      <c r="P242" s="1"/>
      <c r="Q242" s="1"/>
      <c r="R242" s="1"/>
    </row>
    <row r="243" spans="1:18" s="13" customFormat="1" ht="16.5" customHeight="1" x14ac:dyDescent="0.2">
      <c r="A243" s="315"/>
      <c r="B243" s="2426" t="s">
        <v>1726</v>
      </c>
      <c r="C243" s="2426"/>
      <c r="D243" s="2426"/>
      <c r="E243" s="2426"/>
      <c r="F243" s="2426">
        <v>0.6</v>
      </c>
      <c r="G243" s="1"/>
      <c r="H243" s="1"/>
      <c r="I243" s="1"/>
      <c r="J243" s="1"/>
      <c r="K243" s="1"/>
      <c r="L243" s="1"/>
      <c r="M243" s="1"/>
      <c r="N243" s="1"/>
      <c r="O243" s="1"/>
      <c r="P243" s="1"/>
      <c r="Q243" s="1"/>
      <c r="R243" s="1"/>
    </row>
    <row r="244" spans="1:18" s="13" customFormat="1" ht="15" customHeight="1" x14ac:dyDescent="0.2">
      <c r="A244" s="315"/>
      <c r="B244" s="2425" t="s">
        <v>1727</v>
      </c>
      <c r="C244" s="2425"/>
      <c r="D244" s="2425"/>
      <c r="E244" s="2425"/>
      <c r="F244" s="906">
        <v>0.15</v>
      </c>
      <c r="G244" s="1"/>
      <c r="H244" s="1"/>
      <c r="I244" s="1"/>
      <c r="J244" s="1"/>
      <c r="K244" s="1"/>
      <c r="L244" s="1"/>
      <c r="M244" s="1"/>
      <c r="N244" s="1"/>
      <c r="O244" s="1"/>
      <c r="P244" s="1"/>
      <c r="Q244" s="1"/>
      <c r="R244" s="1"/>
    </row>
    <row r="245" spans="1:18" s="13" customFormat="1" ht="15" customHeight="1" x14ac:dyDescent="0.2">
      <c r="A245" s="315"/>
      <c r="B245" s="2425" t="s">
        <v>1728</v>
      </c>
      <c r="C245" s="2425"/>
      <c r="D245" s="2425"/>
      <c r="E245" s="2425"/>
      <c r="F245" s="906">
        <v>0.2</v>
      </c>
      <c r="G245" s="1"/>
      <c r="H245" s="1"/>
      <c r="I245" s="1"/>
      <c r="J245" s="1"/>
      <c r="K245" s="1"/>
      <c r="L245" s="1"/>
      <c r="M245" s="1"/>
      <c r="N245" s="1"/>
      <c r="O245" s="1"/>
      <c r="P245" s="1"/>
      <c r="Q245" s="1"/>
      <c r="R245" s="1"/>
    </row>
    <row r="246" spans="1:18" s="13" customFormat="1" ht="15" customHeight="1" x14ac:dyDescent="0.2">
      <c r="A246" s="315"/>
      <c r="B246" s="2425" t="s">
        <v>1729</v>
      </c>
      <c r="C246" s="2425"/>
      <c r="D246" s="2425"/>
      <c r="E246" s="2425"/>
      <c r="F246" s="906">
        <v>0.25</v>
      </c>
      <c r="G246" s="1"/>
      <c r="H246" s="1"/>
      <c r="I246" s="1"/>
      <c r="J246" s="1"/>
      <c r="K246" s="1"/>
      <c r="L246" s="1"/>
      <c r="M246" s="1"/>
      <c r="N246" s="1"/>
      <c r="O246" s="1"/>
      <c r="P246" s="1"/>
      <c r="Q246" s="1"/>
      <c r="R246" s="1"/>
    </row>
    <row r="247" spans="1:18" s="13" customFormat="1" ht="16.5" customHeight="1" x14ac:dyDescent="0.2">
      <c r="A247" s="315"/>
      <c r="B247" s="2426" t="s">
        <v>1731</v>
      </c>
      <c r="C247" s="2426"/>
      <c r="D247" s="2426"/>
      <c r="E247" s="2426"/>
      <c r="F247" s="2426">
        <v>0.6</v>
      </c>
      <c r="G247" s="1"/>
      <c r="H247" s="1"/>
      <c r="I247" s="1"/>
      <c r="J247" s="1"/>
      <c r="K247" s="1"/>
      <c r="L247" s="1"/>
      <c r="M247" s="1"/>
      <c r="N247" s="1"/>
      <c r="O247" s="1"/>
      <c r="P247" s="1"/>
      <c r="Q247" s="1"/>
      <c r="R247" s="1"/>
    </row>
    <row r="248" spans="1:18" s="13" customFormat="1" ht="15" customHeight="1" x14ac:dyDescent="0.2">
      <c r="A248" s="315"/>
      <c r="B248" s="2425" t="s">
        <v>1730</v>
      </c>
      <c r="C248" s="2425"/>
      <c r="D248" s="2425"/>
      <c r="E248" s="2425"/>
      <c r="F248" s="906">
        <v>0.15</v>
      </c>
      <c r="G248" s="1"/>
      <c r="H248" s="1"/>
      <c r="I248" s="1"/>
      <c r="J248" s="1"/>
      <c r="K248" s="1"/>
      <c r="L248" s="1"/>
      <c r="M248" s="1"/>
      <c r="N248" s="1"/>
      <c r="O248" s="1"/>
      <c r="P248" s="1"/>
      <c r="Q248" s="1"/>
      <c r="R248" s="1"/>
    </row>
    <row r="249" spans="1:18" s="13" customFormat="1" ht="15" customHeight="1" x14ac:dyDescent="0.2">
      <c r="A249" s="315"/>
      <c r="B249" s="2425" t="s">
        <v>1732</v>
      </c>
      <c r="C249" s="2425"/>
      <c r="D249" s="2425"/>
      <c r="E249" s="2425"/>
      <c r="F249" s="906">
        <v>0.25</v>
      </c>
      <c r="G249" s="1"/>
      <c r="H249" s="1"/>
      <c r="I249" s="1"/>
      <c r="J249" s="1"/>
      <c r="K249" s="1"/>
      <c r="L249" s="1"/>
      <c r="M249" s="1"/>
      <c r="N249" s="1"/>
      <c r="O249" s="1"/>
      <c r="P249" s="1"/>
      <c r="Q249" s="1"/>
      <c r="R249" s="1"/>
    </row>
    <row r="250" spans="1:18" s="13" customFormat="1" ht="15" customHeight="1" x14ac:dyDescent="0.2">
      <c r="A250" s="315"/>
      <c r="B250" s="931" t="s">
        <v>1733</v>
      </c>
      <c r="C250" s="315"/>
      <c r="D250" s="315"/>
      <c r="E250" s="315"/>
      <c r="F250" s="315"/>
      <c r="G250" s="1"/>
      <c r="H250" s="1"/>
      <c r="I250" s="1"/>
      <c r="J250" s="1"/>
      <c r="K250" s="1"/>
      <c r="L250" s="1"/>
      <c r="M250" s="1"/>
      <c r="N250" s="1"/>
      <c r="O250" s="1"/>
      <c r="P250" s="1"/>
      <c r="Q250" s="1"/>
      <c r="R250" s="1"/>
    </row>
    <row r="251" spans="1:18" s="13" customFormat="1" ht="15" customHeight="1" x14ac:dyDescent="0.2">
      <c r="A251" s="835"/>
      <c r="B251" s="835"/>
      <c r="C251" s="835"/>
      <c r="D251" s="835"/>
      <c r="E251" s="835"/>
      <c r="F251" s="835"/>
      <c r="G251" s="835"/>
      <c r="H251" s="835"/>
      <c r="I251" s="835"/>
      <c r="J251" s="835"/>
      <c r="K251" s="835"/>
      <c r="L251" s="835"/>
      <c r="M251" s="835"/>
      <c r="N251" s="835"/>
      <c r="O251" s="835"/>
      <c r="P251" s="835"/>
      <c r="Q251" s="835"/>
      <c r="R251" s="835"/>
    </row>
    <row r="252" spans="1:18" s="13" customFormat="1" ht="21.75" customHeight="1" x14ac:dyDescent="0.2">
      <c r="A252" s="2400" t="s">
        <v>1945</v>
      </c>
      <c r="B252" s="2400"/>
      <c r="C252" s="2400"/>
      <c r="D252" s="2400"/>
      <c r="E252" s="2400"/>
      <c r="F252" s="2400"/>
      <c r="G252" s="1"/>
      <c r="H252" s="1"/>
      <c r="I252" s="1"/>
      <c r="J252" s="1"/>
      <c r="K252" s="1"/>
      <c r="L252" s="1"/>
      <c r="M252" s="1"/>
      <c r="N252" s="1"/>
      <c r="O252" s="1"/>
      <c r="P252" s="1"/>
      <c r="Q252" s="1"/>
      <c r="R252" s="1"/>
    </row>
    <row r="253" spans="1:18" s="13" customFormat="1" ht="15" customHeight="1" x14ac:dyDescent="0.2">
      <c r="A253" s="315"/>
      <c r="B253" s="315"/>
      <c r="C253" s="315"/>
      <c r="D253" s="315"/>
      <c r="E253" s="315"/>
      <c r="F253" s="315"/>
      <c r="G253" s="1"/>
      <c r="H253" s="1"/>
      <c r="I253" s="1"/>
      <c r="J253" s="1"/>
      <c r="K253" s="1"/>
      <c r="L253" s="1"/>
      <c r="M253" s="1"/>
      <c r="N253" s="1"/>
      <c r="O253" s="1"/>
      <c r="P253" s="1"/>
      <c r="Q253" s="1"/>
      <c r="R253" s="1"/>
    </row>
    <row r="254" spans="1:18" s="13" customFormat="1" ht="15" customHeight="1" x14ac:dyDescent="0.2">
      <c r="A254" s="2448" t="s">
        <v>1955</v>
      </c>
      <c r="B254" s="2448"/>
      <c r="C254" s="2448"/>
      <c r="D254" s="2448"/>
      <c r="E254" s="2448"/>
      <c r="F254" s="2448"/>
      <c r="G254" s="1"/>
      <c r="H254" s="2449" t="s">
        <v>1954</v>
      </c>
      <c r="I254" s="2449"/>
      <c r="J254" s="2449"/>
      <c r="K254" s="2449"/>
      <c r="L254" s="2449"/>
      <c r="M254" s="2449"/>
      <c r="N254" s="1"/>
      <c r="O254" s="1"/>
      <c r="P254" s="1"/>
      <c r="Q254" s="1"/>
      <c r="R254" s="1"/>
    </row>
    <row r="255" spans="1:18" s="13" customFormat="1" ht="15" customHeight="1" x14ac:dyDescent="0.2">
      <c r="A255" s="2448"/>
      <c r="B255" s="2448"/>
      <c r="C255" s="2448"/>
      <c r="D255" s="2448"/>
      <c r="E255" s="2448"/>
      <c r="F255" s="2448"/>
      <c r="G255" s="1"/>
      <c r="H255" s="2449"/>
      <c r="I255" s="2449"/>
      <c r="J255" s="2449"/>
      <c r="K255" s="2449"/>
      <c r="L255" s="2449"/>
      <c r="M255" s="2449"/>
      <c r="N255" s="1"/>
      <c r="O255" s="1"/>
      <c r="P255" s="1"/>
      <c r="Q255" s="1"/>
      <c r="R255" s="1"/>
    </row>
    <row r="256" spans="1:18" s="13" customFormat="1" ht="25.5" customHeight="1" x14ac:dyDescent="0.2">
      <c r="A256" s="315"/>
      <c r="B256" s="990" t="s">
        <v>1946</v>
      </c>
      <c r="C256" s="1086" t="s">
        <v>1947</v>
      </c>
      <c r="D256" s="910" t="s">
        <v>1948</v>
      </c>
      <c r="E256" s="315"/>
      <c r="F256" s="315"/>
      <c r="G256" s="1"/>
      <c r="H256" s="2450" t="s">
        <v>1716</v>
      </c>
      <c r="I256" s="2450"/>
      <c r="J256" s="2450"/>
      <c r="K256" s="2451"/>
      <c r="L256" s="2452" t="s">
        <v>1956</v>
      </c>
      <c r="M256" s="2452"/>
      <c r="N256" s="315"/>
      <c r="O256" s="1"/>
      <c r="P256" s="1"/>
      <c r="Q256" s="1"/>
      <c r="R256" s="1"/>
    </row>
    <row r="257" spans="1:30" s="13" customFormat="1" ht="15" customHeight="1" x14ac:dyDescent="0.2">
      <c r="A257" s="315"/>
      <c r="B257" s="989" t="s">
        <v>1943</v>
      </c>
      <c r="C257" s="991">
        <v>0</v>
      </c>
      <c r="D257" s="991">
        <v>675</v>
      </c>
      <c r="E257" s="315"/>
      <c r="F257" s="315"/>
      <c r="G257" s="1"/>
      <c r="H257" s="2402" t="s">
        <v>1957</v>
      </c>
      <c r="I257" s="2402"/>
      <c r="J257" s="2402"/>
      <c r="K257" s="2402"/>
      <c r="L257" s="2402">
        <v>10</v>
      </c>
      <c r="M257" s="2402"/>
      <c r="N257" s="1"/>
      <c r="O257" s="1"/>
      <c r="P257" s="1"/>
      <c r="Q257" s="1"/>
      <c r="R257" s="1"/>
    </row>
    <row r="258" spans="1:30" s="13" customFormat="1" ht="15" customHeight="1" x14ac:dyDescent="0.2">
      <c r="A258" s="315"/>
      <c r="B258" s="989" t="s">
        <v>1949</v>
      </c>
      <c r="C258" s="991">
        <v>0</v>
      </c>
      <c r="D258" s="1087">
        <v>1430</v>
      </c>
      <c r="E258" s="315"/>
      <c r="F258" s="315"/>
      <c r="G258" s="1"/>
      <c r="H258" s="2402"/>
      <c r="I258" s="2402"/>
      <c r="J258" s="2402"/>
      <c r="K258" s="2402"/>
      <c r="L258" s="2402"/>
      <c r="M258" s="2402"/>
      <c r="N258" s="1"/>
      <c r="O258" s="1"/>
      <c r="P258" s="1"/>
      <c r="Q258" s="1"/>
      <c r="R258" s="1"/>
    </row>
    <row r="259" spans="1:30" s="13" customFormat="1" ht="15" customHeight="1" x14ac:dyDescent="0.2">
      <c r="A259" s="315"/>
      <c r="B259" s="989" t="s">
        <v>1950</v>
      </c>
      <c r="C259" s="991">
        <v>0</v>
      </c>
      <c r="D259" s="1087">
        <v>2107</v>
      </c>
      <c r="E259" s="315"/>
      <c r="F259" s="315"/>
      <c r="G259" s="1"/>
      <c r="H259" s="2402" t="s">
        <v>1958</v>
      </c>
      <c r="I259" s="2402"/>
      <c r="J259" s="2402"/>
      <c r="K259" s="2402"/>
      <c r="L259" s="2406">
        <v>15</v>
      </c>
      <c r="M259" s="2407"/>
      <c r="N259" s="1"/>
      <c r="O259" s="1"/>
      <c r="P259" s="1"/>
      <c r="Q259" s="1"/>
      <c r="R259" s="1"/>
    </row>
    <row r="260" spans="1:30" s="13" customFormat="1" ht="15" customHeight="1" x14ac:dyDescent="0.2">
      <c r="A260" s="315"/>
      <c r="B260" s="989" t="s">
        <v>1951</v>
      </c>
      <c r="C260" s="991">
        <v>0</v>
      </c>
      <c r="D260" s="1087">
        <v>1773</v>
      </c>
      <c r="E260" s="315"/>
      <c r="F260" s="315"/>
      <c r="G260" s="1"/>
      <c r="H260" s="2402"/>
      <c r="I260" s="2402"/>
      <c r="J260" s="2402"/>
      <c r="K260" s="2402"/>
      <c r="L260" s="2408"/>
      <c r="M260" s="2409"/>
      <c r="N260" s="1"/>
      <c r="O260" s="1"/>
      <c r="P260" s="1"/>
      <c r="Q260" s="1"/>
      <c r="R260" s="1"/>
    </row>
    <row r="261" spans="1:30" s="13" customFormat="1" ht="15" customHeight="1" x14ac:dyDescent="0.2">
      <c r="A261" s="315"/>
      <c r="B261" s="989" t="s">
        <v>1952</v>
      </c>
      <c r="C261" s="991">
        <v>0</v>
      </c>
      <c r="D261" s="1087">
        <v>2088</v>
      </c>
      <c r="E261" s="315"/>
      <c r="F261" s="315"/>
      <c r="G261" s="1"/>
      <c r="H261" s="2402" t="s">
        <v>1959</v>
      </c>
      <c r="I261" s="2402"/>
      <c r="J261" s="2402"/>
      <c r="K261" s="2402"/>
      <c r="L261" s="2406">
        <v>20</v>
      </c>
      <c r="M261" s="2407"/>
      <c r="N261" s="1"/>
      <c r="O261" s="1"/>
      <c r="P261" s="1"/>
      <c r="Q261" s="1"/>
      <c r="R261" s="1"/>
    </row>
    <row r="262" spans="1:30" s="13" customFormat="1" ht="15" customHeight="1" x14ac:dyDescent="0.2">
      <c r="A262" s="315"/>
      <c r="B262" s="315"/>
      <c r="C262" s="315"/>
      <c r="D262" s="315"/>
      <c r="E262" s="315"/>
      <c r="F262" s="315"/>
      <c r="G262" s="1"/>
      <c r="H262" s="2402"/>
      <c r="I262" s="2402"/>
      <c r="J262" s="2402"/>
      <c r="K262" s="2402"/>
      <c r="L262" s="2408"/>
      <c r="M262" s="2409"/>
      <c r="N262" s="1"/>
      <c r="O262" s="1"/>
      <c r="P262" s="1"/>
      <c r="Q262" s="1"/>
      <c r="R262" s="1"/>
    </row>
    <row r="263" spans="1:30" s="13" customFormat="1" ht="15" customHeight="1" x14ac:dyDescent="0.2">
      <c r="A263" s="315"/>
      <c r="B263" s="315"/>
      <c r="C263" s="315"/>
      <c r="D263" s="315"/>
      <c r="E263" s="315"/>
      <c r="F263" s="315"/>
      <c r="G263" s="1"/>
      <c r="H263" s="2402" t="s">
        <v>1960</v>
      </c>
      <c r="I263" s="2402"/>
      <c r="J263" s="2402"/>
      <c r="K263" s="2402"/>
      <c r="L263" s="2402">
        <v>24</v>
      </c>
      <c r="M263" s="2402"/>
      <c r="N263" s="1"/>
      <c r="O263" s="1"/>
      <c r="P263" s="1"/>
      <c r="Q263" s="1"/>
      <c r="R263" s="1"/>
    </row>
    <row r="264" spans="1:30" s="13" customFormat="1" ht="15" customHeight="1" x14ac:dyDescent="0.2">
      <c r="A264" s="315"/>
      <c r="B264" s="315"/>
      <c r="C264" s="315"/>
      <c r="D264" s="315"/>
      <c r="E264" s="315"/>
      <c r="F264" s="315"/>
      <c r="G264" s="1"/>
      <c r="H264" s="2402" t="s">
        <v>1961</v>
      </c>
      <c r="I264" s="2402"/>
      <c r="J264" s="2402"/>
      <c r="K264" s="2402"/>
      <c r="L264" s="2402">
        <v>25</v>
      </c>
      <c r="M264" s="2402"/>
      <c r="N264" s="1"/>
      <c r="O264" s="1"/>
      <c r="P264" s="1"/>
      <c r="Q264" s="1"/>
      <c r="R264" s="1"/>
    </row>
    <row r="265" spans="1:30" s="13" customFormat="1" ht="15" customHeight="1" x14ac:dyDescent="0.2">
      <c r="A265" s="315"/>
      <c r="B265" s="315"/>
      <c r="C265" s="315"/>
      <c r="D265" s="315"/>
      <c r="E265" s="315"/>
      <c r="F265" s="315"/>
      <c r="G265" s="1"/>
      <c r="H265" s="1"/>
      <c r="I265" s="1"/>
      <c r="J265" s="1"/>
      <c r="K265" s="1"/>
      <c r="L265" s="1"/>
      <c r="M265" s="1"/>
      <c r="N265" s="1"/>
      <c r="O265" s="1"/>
      <c r="P265" s="1"/>
      <c r="Q265" s="1"/>
      <c r="R265" s="1"/>
    </row>
    <row r="266" spans="1:30" hidden="1" x14ac:dyDescent="0.25">
      <c r="AB266" s="13"/>
      <c r="AC266" s="13"/>
      <c r="AD266" s="13"/>
    </row>
    <row r="267" spans="1:30" hidden="1" x14ac:dyDescent="0.25"/>
  </sheetData>
  <sheetProtection algorithmName="SHA-512" hashValue="DQZqG2WBYmvUO7SfaekWHOPIWiAPCeBGVhq7jKssBejti6n5/LqjfYCbF6m5vvXN2uEJrB/qqfs1ZCGYfklv1Q==" saltValue="gI2qPKgXDOAbr1fAz/NZHQ==" spinCount="100000" sheet="1" objects="1" scenarios="1"/>
  <mergeCells count="392">
    <mergeCell ref="H263:K263"/>
    <mergeCell ref="H264:K264"/>
    <mergeCell ref="L263:M263"/>
    <mergeCell ref="L264:M264"/>
    <mergeCell ref="L259:M260"/>
    <mergeCell ref="L261:M262"/>
    <mergeCell ref="H256:K256"/>
    <mergeCell ref="L256:M256"/>
    <mergeCell ref="H257:K258"/>
    <mergeCell ref="H259:K260"/>
    <mergeCell ref="H261:K262"/>
    <mergeCell ref="L257:M258"/>
    <mergeCell ref="A252:F252"/>
    <mergeCell ref="A254:F255"/>
    <mergeCell ref="H254:M255"/>
    <mergeCell ref="B224:E224"/>
    <mergeCell ref="B225:E225"/>
    <mergeCell ref="B219:F219"/>
    <mergeCell ref="B220:E220"/>
    <mergeCell ref="B222:E222"/>
    <mergeCell ref="B221:E221"/>
    <mergeCell ref="A229:F229"/>
    <mergeCell ref="B232:F232"/>
    <mergeCell ref="B233:E233"/>
    <mergeCell ref="B234:E234"/>
    <mergeCell ref="B235:E235"/>
    <mergeCell ref="B242:E242"/>
    <mergeCell ref="B246:E246"/>
    <mergeCell ref="B248:E248"/>
    <mergeCell ref="B249:E249"/>
    <mergeCell ref="B244:E244"/>
    <mergeCell ref="B243:F243"/>
    <mergeCell ref="B245:E245"/>
    <mergeCell ref="B247:F247"/>
    <mergeCell ref="B236:E236"/>
    <mergeCell ref="B237:E237"/>
    <mergeCell ref="B212:E212"/>
    <mergeCell ref="B210:F210"/>
    <mergeCell ref="B206:F206"/>
    <mergeCell ref="B223:F223"/>
    <mergeCell ref="B216:F216"/>
    <mergeCell ref="B213:E213"/>
    <mergeCell ref="B214:E214"/>
    <mergeCell ref="B215:E215"/>
    <mergeCell ref="B217:E217"/>
    <mergeCell ref="B218:E218"/>
    <mergeCell ref="A203:F203"/>
    <mergeCell ref="B205:E205"/>
    <mergeCell ref="B211:E211"/>
    <mergeCell ref="B207:E207"/>
    <mergeCell ref="B208:E208"/>
    <mergeCell ref="B209:E209"/>
    <mergeCell ref="A1:R1"/>
    <mergeCell ref="A172:F172"/>
    <mergeCell ref="A131:F131"/>
    <mergeCell ref="B134:B135"/>
    <mergeCell ref="C134:E134"/>
    <mergeCell ref="F134:H134"/>
    <mergeCell ref="E162:F162"/>
    <mergeCell ref="C162:D162"/>
    <mergeCell ref="C163:D163"/>
    <mergeCell ref="C164:D164"/>
    <mergeCell ref="C168:D168"/>
    <mergeCell ref="C169:D169"/>
    <mergeCell ref="E163:F163"/>
    <mergeCell ref="A27:G28"/>
    <mergeCell ref="A3:F3"/>
    <mergeCell ref="B21:F21"/>
    <mergeCell ref="A146:F146"/>
    <mergeCell ref="B149:B150"/>
    <mergeCell ref="J167:K167"/>
    <mergeCell ref="L167:M167"/>
    <mergeCell ref="J163:K164"/>
    <mergeCell ref="L163:M164"/>
    <mergeCell ref="C149:C150"/>
    <mergeCell ref="D149:E149"/>
    <mergeCell ref="B151:B153"/>
    <mergeCell ref="B154:B156"/>
    <mergeCell ref="B148:E148"/>
    <mergeCell ref="A159:F159"/>
    <mergeCell ref="E164:F164"/>
    <mergeCell ref="E165:F165"/>
    <mergeCell ref="E166:F166"/>
    <mergeCell ref="E160:F161"/>
    <mergeCell ref="B162:B164"/>
    <mergeCell ref="B238:E238"/>
    <mergeCell ref="B240:E240"/>
    <mergeCell ref="B241:E241"/>
    <mergeCell ref="B239:F239"/>
    <mergeCell ref="I134:K134"/>
    <mergeCell ref="H148:P148"/>
    <mergeCell ref="J165:K165"/>
    <mergeCell ref="K21:O21"/>
    <mergeCell ref="A9:G9"/>
    <mergeCell ref="J9:P9"/>
    <mergeCell ref="J27:P28"/>
    <mergeCell ref="I162:N162"/>
    <mergeCell ref="B231:E231"/>
    <mergeCell ref="C167:D167"/>
    <mergeCell ref="B160:D161"/>
    <mergeCell ref="J166:K166"/>
    <mergeCell ref="L165:M165"/>
    <mergeCell ref="L166:M166"/>
    <mergeCell ref="B165:B169"/>
    <mergeCell ref="E167:F167"/>
    <mergeCell ref="E168:F168"/>
    <mergeCell ref="E169:F169"/>
    <mergeCell ref="C165:D165"/>
    <mergeCell ref="C166:D166"/>
    <mergeCell ref="L49:M49"/>
    <mergeCell ref="L48:M48"/>
    <mergeCell ref="L44:M44"/>
    <mergeCell ref="L46:M46"/>
    <mergeCell ref="L47:M47"/>
    <mergeCell ref="L41:M41"/>
    <mergeCell ref="L42:M42"/>
    <mergeCell ref="L45:M45"/>
    <mergeCell ref="L43:M43"/>
    <mergeCell ref="C41:D41"/>
    <mergeCell ref="C42:D42"/>
    <mergeCell ref="C43:D43"/>
    <mergeCell ref="C44:D44"/>
    <mergeCell ref="C45:D45"/>
    <mergeCell ref="C46:D46"/>
    <mergeCell ref="C47:D47"/>
    <mergeCell ref="C48:D48"/>
    <mergeCell ref="C49:D49"/>
    <mergeCell ref="E41:F41"/>
    <mergeCell ref="G41:H41"/>
    <mergeCell ref="E42:F42"/>
    <mergeCell ref="E43:F43"/>
    <mergeCell ref="E44:F44"/>
    <mergeCell ref="E45:F45"/>
    <mergeCell ref="E46:F46"/>
    <mergeCell ref="E47:F47"/>
    <mergeCell ref="E48:F48"/>
    <mergeCell ref="E49:F49"/>
    <mergeCell ref="G42:H42"/>
    <mergeCell ref="G43:H43"/>
    <mergeCell ref="G44:H44"/>
    <mergeCell ref="G45:H45"/>
    <mergeCell ref="G46:H46"/>
    <mergeCell ref="G47:H47"/>
    <mergeCell ref="G48:H48"/>
    <mergeCell ref="G49:H49"/>
    <mergeCell ref="C52:D52"/>
    <mergeCell ref="E52:F52"/>
    <mergeCell ref="G52:H52"/>
    <mergeCell ref="L52:M52"/>
    <mergeCell ref="C53:D53"/>
    <mergeCell ref="E53:F53"/>
    <mergeCell ref="G53:H53"/>
    <mergeCell ref="L53:M53"/>
    <mergeCell ref="C54:D54"/>
    <mergeCell ref="E54:F54"/>
    <mergeCell ref="G54:H54"/>
    <mergeCell ref="L54:M54"/>
    <mergeCell ref="C55:D55"/>
    <mergeCell ref="E55:F55"/>
    <mergeCell ref="G55:H55"/>
    <mergeCell ref="L55:M55"/>
    <mergeCell ref="C56:D56"/>
    <mergeCell ref="E56:F56"/>
    <mergeCell ref="G56:H56"/>
    <mergeCell ref="L56:M56"/>
    <mergeCell ref="C57:D57"/>
    <mergeCell ref="E57:F57"/>
    <mergeCell ref="G57:H57"/>
    <mergeCell ref="L57:M57"/>
    <mergeCell ref="C58:D58"/>
    <mergeCell ref="E58:F58"/>
    <mergeCell ref="G58:H58"/>
    <mergeCell ref="L58:M58"/>
    <mergeCell ref="C59:D59"/>
    <mergeCell ref="E59:F59"/>
    <mergeCell ref="G59:H59"/>
    <mergeCell ref="L59:M59"/>
    <mergeCell ref="C60:D60"/>
    <mergeCell ref="E60:F60"/>
    <mergeCell ref="G60:H60"/>
    <mergeCell ref="L60:M60"/>
    <mergeCell ref="A62:F62"/>
    <mergeCell ref="B64:I64"/>
    <mergeCell ref="B65:C66"/>
    <mergeCell ref="D65:G65"/>
    <mergeCell ref="H65:I66"/>
    <mergeCell ref="D66:E66"/>
    <mergeCell ref="F66:G66"/>
    <mergeCell ref="B67:C67"/>
    <mergeCell ref="D67:E67"/>
    <mergeCell ref="F67:G67"/>
    <mergeCell ref="H67:I67"/>
    <mergeCell ref="B68:C69"/>
    <mergeCell ref="D68:E68"/>
    <mergeCell ref="F68:G68"/>
    <mergeCell ref="H68:I69"/>
    <mergeCell ref="D69:E69"/>
    <mergeCell ref="F69:G69"/>
    <mergeCell ref="B70:C70"/>
    <mergeCell ref="D70:E70"/>
    <mergeCell ref="F70:G70"/>
    <mergeCell ref="H70:I70"/>
    <mergeCell ref="B71:C71"/>
    <mergeCell ref="D71:E71"/>
    <mergeCell ref="F71:G71"/>
    <mergeCell ref="H71:I71"/>
    <mergeCell ref="B72:C72"/>
    <mergeCell ref="D72:E72"/>
    <mergeCell ref="F72:G72"/>
    <mergeCell ref="H72:I72"/>
    <mergeCell ref="B73:C73"/>
    <mergeCell ref="D73:E73"/>
    <mergeCell ref="F73:G73"/>
    <mergeCell ref="H73:I73"/>
    <mergeCell ref="B74:C74"/>
    <mergeCell ref="D74:E74"/>
    <mergeCell ref="F74:G74"/>
    <mergeCell ref="H74:I74"/>
    <mergeCell ref="B75:C75"/>
    <mergeCell ref="D75:E75"/>
    <mergeCell ref="F75:G75"/>
    <mergeCell ref="H75:I75"/>
    <mergeCell ref="B78:K78"/>
    <mergeCell ref="B79:C80"/>
    <mergeCell ref="D79:I79"/>
    <mergeCell ref="J79:K80"/>
    <mergeCell ref="D80:E80"/>
    <mergeCell ref="F80:G80"/>
    <mergeCell ref="H80:I80"/>
    <mergeCell ref="B81:C81"/>
    <mergeCell ref="D81:E81"/>
    <mergeCell ref="F81:G81"/>
    <mergeCell ref="H81:I81"/>
    <mergeCell ref="J81:K81"/>
    <mergeCell ref="B82:C83"/>
    <mergeCell ref="D82:E83"/>
    <mergeCell ref="F82:G83"/>
    <mergeCell ref="H82:I83"/>
    <mergeCell ref="J82:K83"/>
    <mergeCell ref="B84:C84"/>
    <mergeCell ref="D84:E84"/>
    <mergeCell ref="F84:G84"/>
    <mergeCell ref="H84:I84"/>
    <mergeCell ref="J84:K84"/>
    <mergeCell ref="B85:C85"/>
    <mergeCell ref="D85:E85"/>
    <mergeCell ref="F85:G85"/>
    <mergeCell ref="H85:I85"/>
    <mergeCell ref="J85:K85"/>
    <mergeCell ref="B86:C86"/>
    <mergeCell ref="D86:E86"/>
    <mergeCell ref="F86:G86"/>
    <mergeCell ref="H86:I86"/>
    <mergeCell ref="J86:K86"/>
    <mergeCell ref="B87:C87"/>
    <mergeCell ref="D87:E87"/>
    <mergeCell ref="F87:G87"/>
    <mergeCell ref="H87:I87"/>
    <mergeCell ref="J87:K87"/>
    <mergeCell ref="B88:C88"/>
    <mergeCell ref="D88:E88"/>
    <mergeCell ref="F88:G88"/>
    <mergeCell ref="H88:I88"/>
    <mergeCell ref="J88:K88"/>
    <mergeCell ref="B89:C89"/>
    <mergeCell ref="D89:E89"/>
    <mergeCell ref="F89:G89"/>
    <mergeCell ref="H89:I89"/>
    <mergeCell ref="J89:K89"/>
    <mergeCell ref="B90:C90"/>
    <mergeCell ref="D90:E90"/>
    <mergeCell ref="F90:G90"/>
    <mergeCell ref="H90:I90"/>
    <mergeCell ref="J90:K90"/>
    <mergeCell ref="B93:K93"/>
    <mergeCell ref="B94:C95"/>
    <mergeCell ref="D94:I94"/>
    <mergeCell ref="L94:M95"/>
    <mergeCell ref="D95:E95"/>
    <mergeCell ref="F95:G95"/>
    <mergeCell ref="H95:I95"/>
    <mergeCell ref="J95:K95"/>
    <mergeCell ref="B96:C96"/>
    <mergeCell ref="D96:E96"/>
    <mergeCell ref="F96:G96"/>
    <mergeCell ref="H96:I96"/>
    <mergeCell ref="J96:K96"/>
    <mergeCell ref="L96:M96"/>
    <mergeCell ref="B97:C98"/>
    <mergeCell ref="D97:E98"/>
    <mergeCell ref="F97:G98"/>
    <mergeCell ref="H97:I98"/>
    <mergeCell ref="J97:K98"/>
    <mergeCell ref="L97:M98"/>
    <mergeCell ref="B99:C99"/>
    <mergeCell ref="D99:E99"/>
    <mergeCell ref="F99:G99"/>
    <mergeCell ref="H99:I99"/>
    <mergeCell ref="J99:K99"/>
    <mergeCell ref="L99:M99"/>
    <mergeCell ref="B100:C100"/>
    <mergeCell ref="D100:E100"/>
    <mergeCell ref="F100:G100"/>
    <mergeCell ref="H100:I100"/>
    <mergeCell ref="J100:K100"/>
    <mergeCell ref="L100:M100"/>
    <mergeCell ref="B101:C101"/>
    <mergeCell ref="D101:E101"/>
    <mergeCell ref="F101:G101"/>
    <mergeCell ref="H101:I101"/>
    <mergeCell ref="J101:K101"/>
    <mergeCell ref="L101:M101"/>
    <mergeCell ref="B102:C102"/>
    <mergeCell ref="D102:E102"/>
    <mergeCell ref="F102:G102"/>
    <mergeCell ref="H102:I102"/>
    <mergeCell ref="J102:K102"/>
    <mergeCell ref="L102:M102"/>
    <mergeCell ref="B103:C103"/>
    <mergeCell ref="D103:E103"/>
    <mergeCell ref="F103:G103"/>
    <mergeCell ref="H103:I103"/>
    <mergeCell ref="J103:K103"/>
    <mergeCell ref="L103:M103"/>
    <mergeCell ref="B104:C104"/>
    <mergeCell ref="D104:E104"/>
    <mergeCell ref="F104:G104"/>
    <mergeCell ref="H104:I104"/>
    <mergeCell ref="J104:K104"/>
    <mergeCell ref="L104:M104"/>
    <mergeCell ref="B107:K107"/>
    <mergeCell ref="B108:C109"/>
    <mergeCell ref="D108:I108"/>
    <mergeCell ref="J108:K109"/>
    <mergeCell ref="D109:E109"/>
    <mergeCell ref="F109:G109"/>
    <mergeCell ref="H109:I109"/>
    <mergeCell ref="B110:C110"/>
    <mergeCell ref="D110:E110"/>
    <mergeCell ref="F110:G110"/>
    <mergeCell ref="H110:I110"/>
    <mergeCell ref="J110:K110"/>
    <mergeCell ref="B111:C112"/>
    <mergeCell ref="D111:E112"/>
    <mergeCell ref="F111:G112"/>
    <mergeCell ref="H111:I112"/>
    <mergeCell ref="J111:K112"/>
    <mergeCell ref="B113:C113"/>
    <mergeCell ref="D113:E113"/>
    <mergeCell ref="F113:G113"/>
    <mergeCell ref="H113:I113"/>
    <mergeCell ref="J113:K113"/>
    <mergeCell ref="B114:C114"/>
    <mergeCell ref="D114:E114"/>
    <mergeCell ref="F114:G114"/>
    <mergeCell ref="H114:I114"/>
    <mergeCell ref="J114:K114"/>
    <mergeCell ref="B115:C115"/>
    <mergeCell ref="D115:E115"/>
    <mergeCell ref="F115:G115"/>
    <mergeCell ref="H115:I115"/>
    <mergeCell ref="J115:K115"/>
    <mergeCell ref="B116:C116"/>
    <mergeCell ref="D116:E116"/>
    <mergeCell ref="F116:G116"/>
    <mergeCell ref="H116:I116"/>
    <mergeCell ref="J116:K116"/>
    <mergeCell ref="B117:C117"/>
    <mergeCell ref="D117:E117"/>
    <mergeCell ref="F117:G117"/>
    <mergeCell ref="H117:I117"/>
    <mergeCell ref="J117:K117"/>
    <mergeCell ref="B118:C118"/>
    <mergeCell ref="D118:E118"/>
    <mergeCell ref="F118:G118"/>
    <mergeCell ref="H118:I118"/>
    <mergeCell ref="J118:K118"/>
    <mergeCell ref="B126:C126"/>
    <mergeCell ref="D126:E126"/>
    <mergeCell ref="B127:C127"/>
    <mergeCell ref="D127:E127"/>
    <mergeCell ref="B128:C128"/>
    <mergeCell ref="D128:E128"/>
    <mergeCell ref="B121:E121"/>
    <mergeCell ref="B122:C122"/>
    <mergeCell ref="D122:E122"/>
    <mergeCell ref="B123:C123"/>
    <mergeCell ref="D123:E123"/>
    <mergeCell ref="B124:C124"/>
    <mergeCell ref="D124:E124"/>
    <mergeCell ref="B125:C125"/>
    <mergeCell ref="D125:E125"/>
  </mergeCells>
  <dataValidations count="6">
    <dataValidation allowBlank="1" showInputMessage="1" showErrorMessage="1" prompt="If R does not match the values in column 1 of the Table, A coefficient is determined through linear interpolation using the nearest higher and lower R values" sqref="L41:M41 L52:M52" xr:uid="{00000000-0002-0000-3C00-000000000000}"/>
    <dataValidation allowBlank="1" showInputMessage="1" showErrorMessage="1" prompt="Applicable for sunshades placed above the upper window edge by a clearance d, with d/H ≤ 0.1" sqref="K41" xr:uid="{00000000-0002-0000-3C00-000001000000}"/>
    <dataValidation allowBlank="1" showInputMessage="1" showErrorMessage="1" prompt="Clearance from upper window edge to lower sunshade contact" sqref="I41" xr:uid="{00000000-0002-0000-3C00-000002000000}"/>
    <dataValidation allowBlank="1" showInputMessage="1" showErrorMessage="1" prompt="Clearance from window side to vertical sunshade inner contact" sqref="I52" xr:uid="{00000000-0002-0000-3C00-000003000000}"/>
    <dataValidation allowBlank="1" showInputMessage="1" showErrorMessage="1" prompt="Applicable for vertical sunshades placed by a clearance e from the window side, with e/B ≤ 0.1, tolerance of less than 10%." sqref="K52" xr:uid="{00000000-0002-0000-3C00-000004000000}"/>
    <dataValidation type="list" allowBlank="1" showInputMessage="1" showErrorMessage="1" sqref="C42:D49 C53:D60" xr:uid="{00000000-0002-0000-3C00-000005000000}">
      <formula1>"Select,N,NE,E,SE,S,SW,W,NW"</formula1>
    </dataValidation>
  </dataValidations>
  <hyperlinks>
    <hyperlink ref="E227" r:id="rId1" xr:uid="{00000000-0004-0000-3C00-000000000000}"/>
  </hyperlinks>
  <pageMargins left="0.7" right="0.7" top="0.75" bottom="0.75" header="0.3" footer="0.3"/>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Rainfall"/>
  <dimension ref="A1:Q356"/>
  <sheetViews>
    <sheetView topLeftCell="A136" workbookViewId="0">
      <selection activeCell="E148" sqref="E148"/>
    </sheetView>
  </sheetViews>
  <sheetFormatPr defaultColWidth="0" defaultRowHeight="15" customHeight="1" zeroHeight="1" x14ac:dyDescent="0.25"/>
  <cols>
    <col min="1" max="1" width="15.28515625" customWidth="1"/>
    <col min="2" max="17" width="11.42578125" customWidth="1"/>
    <col min="18" max="16384" width="11.42578125" hidden="1"/>
  </cols>
  <sheetData>
    <row r="1" spans="1:17" s="114" customFormat="1" ht="18.75" thickBot="1" x14ac:dyDescent="0.3">
      <c r="A1" s="2453" t="s">
        <v>375</v>
      </c>
      <c r="B1" s="2454"/>
      <c r="C1" s="2454"/>
      <c r="D1" s="2454"/>
      <c r="E1" s="2454"/>
      <c r="F1" s="2454"/>
      <c r="G1" s="113"/>
      <c r="H1" s="113"/>
      <c r="I1" s="113"/>
      <c r="J1" s="113"/>
      <c r="K1" s="113"/>
      <c r="L1" s="113"/>
      <c r="M1" s="113"/>
      <c r="N1" s="113"/>
      <c r="O1" s="113"/>
      <c r="P1" s="113"/>
      <c r="Q1" s="113"/>
    </row>
    <row r="2" spans="1:17" x14ac:dyDescent="0.25">
      <c r="A2" s="115" t="s">
        <v>376</v>
      </c>
      <c r="B2" s="116"/>
      <c r="C2" s="116"/>
      <c r="D2" s="116"/>
      <c r="E2" s="116"/>
      <c r="F2" s="116"/>
      <c r="G2" s="116"/>
      <c r="H2" s="116"/>
      <c r="I2" s="116"/>
      <c r="J2" s="116"/>
      <c r="K2" s="116"/>
      <c r="L2" s="116"/>
      <c r="M2" s="116"/>
      <c r="N2" s="116"/>
      <c r="O2" s="116"/>
      <c r="P2" s="116"/>
      <c r="Q2" s="116"/>
    </row>
    <row r="3" spans="1:17" ht="15.75" thickBot="1" x14ac:dyDescent="0.3">
      <c r="A3" s="115"/>
      <c r="B3" s="116"/>
      <c r="C3" s="116"/>
      <c r="D3" s="116"/>
      <c r="E3" s="116"/>
      <c r="F3" s="116"/>
      <c r="G3" s="116"/>
      <c r="H3" s="116"/>
      <c r="I3" s="116"/>
      <c r="J3" s="116"/>
      <c r="K3" s="116"/>
      <c r="L3" s="116"/>
      <c r="M3" s="116"/>
      <c r="N3" s="116"/>
      <c r="O3" s="116"/>
      <c r="P3" s="116"/>
      <c r="Q3" s="116"/>
    </row>
    <row r="4" spans="1:17" ht="15.75" thickBot="1" x14ac:dyDescent="0.3">
      <c r="A4" s="117" t="s">
        <v>124</v>
      </c>
      <c r="B4" s="118" t="s">
        <v>377</v>
      </c>
      <c r="C4" s="119" t="s">
        <v>378</v>
      </c>
      <c r="D4" s="119" t="s">
        <v>379</v>
      </c>
      <c r="E4" s="119" t="s">
        <v>380</v>
      </c>
      <c r="F4" s="119" t="s">
        <v>381</v>
      </c>
      <c r="G4" s="119" t="s">
        <v>382</v>
      </c>
      <c r="H4" s="119" t="s">
        <v>383</v>
      </c>
      <c r="I4" s="119" t="s">
        <v>384</v>
      </c>
      <c r="J4" s="119" t="s">
        <v>385</v>
      </c>
      <c r="K4" s="119" t="s">
        <v>386</v>
      </c>
      <c r="L4" s="119" t="s">
        <v>387</v>
      </c>
      <c r="M4" s="120" t="s">
        <v>388</v>
      </c>
      <c r="N4" s="121" t="s">
        <v>389</v>
      </c>
      <c r="O4" s="116"/>
      <c r="P4" s="116"/>
      <c r="Q4" s="116"/>
    </row>
    <row r="5" spans="1:17" x14ac:dyDescent="0.25">
      <c r="A5" s="122" t="s">
        <v>390</v>
      </c>
      <c r="B5" s="123">
        <v>27</v>
      </c>
      <c r="C5" s="124">
        <v>34</v>
      </c>
      <c r="D5" s="124">
        <v>53</v>
      </c>
      <c r="E5" s="124">
        <v>104</v>
      </c>
      <c r="F5" s="124">
        <v>268</v>
      </c>
      <c r="G5" s="124">
        <v>295</v>
      </c>
      <c r="H5" s="124">
        <v>351</v>
      </c>
      <c r="I5" s="124">
        <v>343</v>
      </c>
      <c r="J5" s="124">
        <v>242</v>
      </c>
      <c r="K5" s="124">
        <v>207</v>
      </c>
      <c r="L5" s="124">
        <v>63</v>
      </c>
      <c r="M5" s="125">
        <v>20</v>
      </c>
      <c r="N5" s="126">
        <f t="shared" ref="N5:N36" si="0">SUM(B5:M5)</f>
        <v>2007</v>
      </c>
      <c r="O5" s="116"/>
      <c r="P5" s="116"/>
      <c r="Q5" s="116"/>
    </row>
    <row r="6" spans="1:17" x14ac:dyDescent="0.25">
      <c r="A6" s="127" t="s">
        <v>391</v>
      </c>
      <c r="B6" s="128">
        <v>24</v>
      </c>
      <c r="C6" s="129">
        <v>27</v>
      </c>
      <c r="D6" s="129">
        <v>49</v>
      </c>
      <c r="E6" s="129">
        <v>111</v>
      </c>
      <c r="F6" s="129">
        <v>193</v>
      </c>
      <c r="G6" s="129">
        <v>256</v>
      </c>
      <c r="H6" s="129">
        <v>253</v>
      </c>
      <c r="I6" s="129">
        <v>286</v>
      </c>
      <c r="J6" s="129">
        <v>176</v>
      </c>
      <c r="K6" s="129">
        <v>121</v>
      </c>
      <c r="L6" s="129">
        <v>38</v>
      </c>
      <c r="M6" s="130">
        <v>18</v>
      </c>
      <c r="N6" s="131">
        <f t="shared" si="0"/>
        <v>1552</v>
      </c>
      <c r="O6" s="116"/>
      <c r="P6" s="116"/>
      <c r="Q6" s="116"/>
    </row>
    <row r="7" spans="1:17" x14ac:dyDescent="0.25">
      <c r="A7" s="127" t="s">
        <v>392</v>
      </c>
      <c r="B7" s="128">
        <v>22</v>
      </c>
      <c r="C7" s="129">
        <v>29</v>
      </c>
      <c r="D7" s="129">
        <v>55</v>
      </c>
      <c r="E7" s="129">
        <v>113</v>
      </c>
      <c r="F7" s="129">
        <v>184</v>
      </c>
      <c r="G7" s="129">
        <v>272</v>
      </c>
      <c r="H7" s="129">
        <v>280</v>
      </c>
      <c r="I7" s="129">
        <v>277</v>
      </c>
      <c r="J7" s="129">
        <v>149</v>
      </c>
      <c r="K7" s="129">
        <v>86</v>
      </c>
      <c r="L7" s="129">
        <v>42</v>
      </c>
      <c r="M7" s="130">
        <v>19</v>
      </c>
      <c r="N7" s="131">
        <f t="shared" si="0"/>
        <v>1528</v>
      </c>
      <c r="O7" s="116"/>
      <c r="P7" s="116"/>
      <c r="Q7" s="116"/>
    </row>
    <row r="8" spans="1:17" x14ac:dyDescent="0.25">
      <c r="A8" s="127" t="s">
        <v>393</v>
      </c>
      <c r="B8" s="128">
        <v>5</v>
      </c>
      <c r="C8" s="129">
        <v>5</v>
      </c>
      <c r="D8" s="129">
        <v>19</v>
      </c>
      <c r="E8" s="129">
        <v>86</v>
      </c>
      <c r="F8" s="129">
        <v>237</v>
      </c>
      <c r="G8" s="129">
        <v>248</v>
      </c>
      <c r="H8" s="129">
        <v>255</v>
      </c>
      <c r="I8" s="129">
        <v>310</v>
      </c>
      <c r="J8" s="129">
        <v>288</v>
      </c>
      <c r="K8" s="129">
        <v>222</v>
      </c>
      <c r="L8" s="129">
        <v>96</v>
      </c>
      <c r="M8" s="130">
        <v>25</v>
      </c>
      <c r="N8" s="131">
        <f t="shared" si="0"/>
        <v>1796</v>
      </c>
      <c r="O8" s="116"/>
      <c r="P8" s="116"/>
      <c r="Q8" s="116"/>
    </row>
    <row r="9" spans="1:17" x14ac:dyDescent="0.25">
      <c r="A9" s="127" t="s">
        <v>394</v>
      </c>
      <c r="B9" s="128">
        <v>18</v>
      </c>
      <c r="C9" s="129">
        <v>12</v>
      </c>
      <c r="D9" s="129">
        <v>33</v>
      </c>
      <c r="E9" s="129">
        <v>111</v>
      </c>
      <c r="F9" s="129">
        <v>262</v>
      </c>
      <c r="G9" s="129">
        <v>343</v>
      </c>
      <c r="H9" s="129">
        <v>331</v>
      </c>
      <c r="I9" s="129">
        <v>366</v>
      </c>
      <c r="J9" s="129">
        <v>344</v>
      </c>
      <c r="K9" s="129">
        <v>357</v>
      </c>
      <c r="L9" s="129">
        <v>189</v>
      </c>
      <c r="M9" s="130">
        <v>62</v>
      </c>
      <c r="N9" s="131">
        <f t="shared" si="0"/>
        <v>2428</v>
      </c>
      <c r="O9" s="116"/>
      <c r="P9" s="116"/>
      <c r="Q9" s="116"/>
    </row>
    <row r="10" spans="1:17" x14ac:dyDescent="0.25">
      <c r="A10" s="127" t="s">
        <v>395</v>
      </c>
      <c r="B10" s="128">
        <v>23</v>
      </c>
      <c r="C10" s="129">
        <v>6</v>
      </c>
      <c r="D10" s="129">
        <v>32</v>
      </c>
      <c r="E10" s="129">
        <v>29</v>
      </c>
      <c r="F10" s="129">
        <v>81</v>
      </c>
      <c r="G10" s="129">
        <v>62</v>
      </c>
      <c r="H10" s="129">
        <v>49</v>
      </c>
      <c r="I10" s="129">
        <v>50</v>
      </c>
      <c r="J10" s="129">
        <v>152</v>
      </c>
      <c r="K10" s="129">
        <v>305</v>
      </c>
      <c r="L10" s="129">
        <v>315</v>
      </c>
      <c r="M10" s="130">
        <v>140</v>
      </c>
      <c r="N10" s="131">
        <f t="shared" si="0"/>
        <v>1244</v>
      </c>
      <c r="O10" s="116"/>
      <c r="P10" s="116"/>
      <c r="Q10" s="116"/>
    </row>
    <row r="11" spans="1:17" x14ac:dyDescent="0.25">
      <c r="A11" s="127" t="s">
        <v>396</v>
      </c>
      <c r="B11" s="128">
        <v>9</v>
      </c>
      <c r="C11" s="129">
        <v>2</v>
      </c>
      <c r="D11" s="129">
        <v>8</v>
      </c>
      <c r="E11" s="129">
        <v>40</v>
      </c>
      <c r="F11" s="129">
        <v>177</v>
      </c>
      <c r="G11" s="129">
        <v>218</v>
      </c>
      <c r="H11" s="129">
        <v>228</v>
      </c>
      <c r="I11" s="129">
        <v>240</v>
      </c>
      <c r="J11" s="129">
        <v>261</v>
      </c>
      <c r="K11" s="129">
        <v>321</v>
      </c>
      <c r="L11" s="129">
        <v>133</v>
      </c>
      <c r="M11" s="130">
        <v>38</v>
      </c>
      <c r="N11" s="131">
        <f t="shared" si="0"/>
        <v>1675</v>
      </c>
      <c r="O11" s="116"/>
      <c r="P11" s="116"/>
      <c r="Q11" s="116"/>
    </row>
    <row r="12" spans="1:17" x14ac:dyDescent="0.25">
      <c r="A12" s="127" t="s">
        <v>397</v>
      </c>
      <c r="B12" s="128">
        <v>2</v>
      </c>
      <c r="C12" s="129">
        <v>4</v>
      </c>
      <c r="D12" s="129">
        <v>10</v>
      </c>
      <c r="E12" s="129">
        <v>50</v>
      </c>
      <c r="F12" s="129">
        <v>182</v>
      </c>
      <c r="G12" s="129">
        <v>206</v>
      </c>
      <c r="H12" s="129">
        <v>216</v>
      </c>
      <c r="I12" s="129">
        <v>241</v>
      </c>
      <c r="J12" s="129">
        <v>242</v>
      </c>
      <c r="K12" s="129">
        <v>299</v>
      </c>
      <c r="L12" s="129">
        <v>127</v>
      </c>
      <c r="M12" s="130">
        <v>30</v>
      </c>
      <c r="N12" s="131">
        <f t="shared" si="0"/>
        <v>1609</v>
      </c>
      <c r="O12" s="116"/>
      <c r="P12" s="116"/>
      <c r="Q12" s="116"/>
    </row>
    <row r="13" spans="1:17" x14ac:dyDescent="0.25">
      <c r="A13" s="127" t="s">
        <v>398</v>
      </c>
      <c r="B13" s="128">
        <v>25</v>
      </c>
      <c r="C13" s="129">
        <v>25</v>
      </c>
      <c r="D13" s="129">
        <v>49</v>
      </c>
      <c r="E13" s="129">
        <v>87</v>
      </c>
      <c r="F13" s="129">
        <v>184</v>
      </c>
      <c r="G13" s="129">
        <v>236</v>
      </c>
      <c r="H13" s="129">
        <v>272</v>
      </c>
      <c r="I13" s="129">
        <v>260</v>
      </c>
      <c r="J13" s="129">
        <v>138</v>
      </c>
      <c r="K13" s="129">
        <v>83</v>
      </c>
      <c r="L13" s="129">
        <v>43</v>
      </c>
      <c r="M13" s="130">
        <v>21</v>
      </c>
      <c r="N13" s="131">
        <f t="shared" si="0"/>
        <v>1423</v>
      </c>
      <c r="O13" s="116"/>
      <c r="P13" s="116"/>
      <c r="Q13" s="116"/>
    </row>
    <row r="14" spans="1:17" x14ac:dyDescent="0.25">
      <c r="A14" s="127" t="s">
        <v>399</v>
      </c>
      <c r="B14" s="128">
        <v>9</v>
      </c>
      <c r="C14" s="129">
        <v>6</v>
      </c>
      <c r="D14" s="129">
        <v>19</v>
      </c>
      <c r="E14" s="129">
        <v>50</v>
      </c>
      <c r="F14" s="129">
        <v>148</v>
      </c>
      <c r="G14" s="129">
        <v>150</v>
      </c>
      <c r="H14" s="129">
        <v>167</v>
      </c>
      <c r="I14" s="129">
        <v>176</v>
      </c>
      <c r="J14" s="129">
        <v>243</v>
      </c>
      <c r="K14" s="129">
        <v>265</v>
      </c>
      <c r="L14" s="129">
        <v>136</v>
      </c>
      <c r="M14" s="130">
        <v>30</v>
      </c>
      <c r="N14" s="131">
        <f t="shared" si="0"/>
        <v>1399</v>
      </c>
      <c r="O14" s="116"/>
      <c r="P14" s="116"/>
      <c r="Q14" s="116"/>
    </row>
    <row r="15" spans="1:17" x14ac:dyDescent="0.25">
      <c r="A15" s="127" t="s">
        <v>400</v>
      </c>
      <c r="B15" s="128">
        <v>7</v>
      </c>
      <c r="C15" s="129">
        <v>3</v>
      </c>
      <c r="D15" s="129">
        <v>18</v>
      </c>
      <c r="E15" s="129">
        <v>87</v>
      </c>
      <c r="F15" s="129">
        <v>164</v>
      </c>
      <c r="G15" s="129">
        <v>112</v>
      </c>
      <c r="H15" s="129">
        <v>132</v>
      </c>
      <c r="I15" s="129">
        <v>163</v>
      </c>
      <c r="J15" s="129">
        <v>160</v>
      </c>
      <c r="K15" s="129">
        <v>257</v>
      </c>
      <c r="L15" s="129">
        <v>151</v>
      </c>
      <c r="M15" s="130">
        <v>40</v>
      </c>
      <c r="N15" s="131">
        <f t="shared" si="0"/>
        <v>1294</v>
      </c>
      <c r="O15" s="116"/>
      <c r="P15" s="116"/>
      <c r="Q15" s="116"/>
    </row>
    <row r="16" spans="1:17" x14ac:dyDescent="0.25">
      <c r="A16" s="127" t="s">
        <v>401</v>
      </c>
      <c r="B16" s="128">
        <v>8</v>
      </c>
      <c r="C16" s="129">
        <v>5</v>
      </c>
      <c r="D16" s="129">
        <v>7</v>
      </c>
      <c r="E16" s="129">
        <v>36</v>
      </c>
      <c r="F16" s="129">
        <v>196</v>
      </c>
      <c r="G16" s="129">
        <v>301</v>
      </c>
      <c r="H16" s="129">
        <v>278</v>
      </c>
      <c r="I16" s="129">
        <v>314</v>
      </c>
      <c r="J16" s="129">
        <v>317</v>
      </c>
      <c r="K16" s="129">
        <v>373</v>
      </c>
      <c r="L16" s="129">
        <v>177</v>
      </c>
      <c r="M16" s="130">
        <v>57</v>
      </c>
      <c r="N16" s="131">
        <f t="shared" si="0"/>
        <v>2069</v>
      </c>
      <c r="O16" s="116"/>
      <c r="P16" s="116"/>
      <c r="Q16" s="116"/>
    </row>
    <row r="17" spans="1:17" x14ac:dyDescent="0.25">
      <c r="A17" s="127" t="s">
        <v>402</v>
      </c>
      <c r="B17" s="128">
        <v>30</v>
      </c>
      <c r="C17" s="129">
        <v>32</v>
      </c>
      <c r="D17" s="129">
        <v>48</v>
      </c>
      <c r="E17" s="129">
        <v>98</v>
      </c>
      <c r="F17" s="129">
        <v>186</v>
      </c>
      <c r="G17" s="129">
        <v>307</v>
      </c>
      <c r="H17" s="129">
        <v>373</v>
      </c>
      <c r="I17" s="129">
        <v>536</v>
      </c>
      <c r="J17" s="129">
        <v>346</v>
      </c>
      <c r="K17" s="129">
        <v>171</v>
      </c>
      <c r="L17" s="129">
        <v>55</v>
      </c>
      <c r="M17" s="130">
        <v>18</v>
      </c>
      <c r="N17" s="131">
        <f t="shared" si="0"/>
        <v>2200</v>
      </c>
      <c r="O17" s="116"/>
      <c r="P17" s="116"/>
      <c r="Q17" s="116"/>
    </row>
    <row r="18" spans="1:17" x14ac:dyDescent="0.25">
      <c r="A18" s="127" t="s">
        <v>403</v>
      </c>
      <c r="B18" s="128">
        <v>8</v>
      </c>
      <c r="C18" s="129">
        <v>21</v>
      </c>
      <c r="D18" s="129">
        <v>61</v>
      </c>
      <c r="E18" s="129">
        <v>173</v>
      </c>
      <c r="F18" s="129">
        <v>208</v>
      </c>
      <c r="G18" s="129">
        <v>207</v>
      </c>
      <c r="H18" s="129">
        <v>236</v>
      </c>
      <c r="I18" s="129">
        <v>234</v>
      </c>
      <c r="J18" s="129">
        <v>279</v>
      </c>
      <c r="K18" s="129">
        <v>248</v>
      </c>
      <c r="L18" s="129">
        <v>90</v>
      </c>
      <c r="M18" s="130">
        <v>36</v>
      </c>
      <c r="N18" s="131">
        <f t="shared" si="0"/>
        <v>1801</v>
      </c>
      <c r="O18" s="116"/>
      <c r="P18" s="116"/>
      <c r="Q18" s="116"/>
    </row>
    <row r="19" spans="1:17" x14ac:dyDescent="0.25">
      <c r="A19" s="127" t="s">
        <v>404</v>
      </c>
      <c r="B19" s="128">
        <v>83</v>
      </c>
      <c r="C19" s="129">
        <v>25</v>
      </c>
      <c r="D19" s="129">
        <v>20</v>
      </c>
      <c r="E19" s="129">
        <v>35</v>
      </c>
      <c r="F19" s="129">
        <v>84</v>
      </c>
      <c r="G19" s="129">
        <v>90</v>
      </c>
      <c r="H19" s="129">
        <v>87</v>
      </c>
      <c r="I19" s="129">
        <v>117</v>
      </c>
      <c r="J19" s="129">
        <v>312</v>
      </c>
      <c r="K19" s="129">
        <v>650</v>
      </c>
      <c r="L19" s="129">
        <v>432</v>
      </c>
      <c r="M19" s="130">
        <v>216</v>
      </c>
      <c r="N19" s="131">
        <f t="shared" si="0"/>
        <v>2151</v>
      </c>
      <c r="O19" s="116"/>
      <c r="P19" s="116"/>
      <c r="Q19" s="116"/>
    </row>
    <row r="20" spans="1:17" x14ac:dyDescent="0.25">
      <c r="A20" s="127" t="s">
        <v>405</v>
      </c>
      <c r="B20" s="128">
        <v>21</v>
      </c>
      <c r="C20" s="129">
        <v>31</v>
      </c>
      <c r="D20" s="129">
        <v>55</v>
      </c>
      <c r="E20" s="129">
        <v>111</v>
      </c>
      <c r="F20" s="129">
        <v>187</v>
      </c>
      <c r="G20" s="129">
        <v>274</v>
      </c>
      <c r="H20" s="129">
        <v>310</v>
      </c>
      <c r="I20" s="129">
        <v>313</v>
      </c>
      <c r="J20" s="129">
        <v>151</v>
      </c>
      <c r="K20" s="129">
        <v>65</v>
      </c>
      <c r="L20" s="129">
        <v>31</v>
      </c>
      <c r="M20" s="130">
        <v>21</v>
      </c>
      <c r="N20" s="131">
        <f t="shared" si="0"/>
        <v>1570</v>
      </c>
      <c r="O20" s="116"/>
      <c r="P20" s="116"/>
      <c r="Q20" s="116"/>
    </row>
    <row r="21" spans="1:17" x14ac:dyDescent="0.25">
      <c r="A21" s="127" t="s">
        <v>406</v>
      </c>
      <c r="B21" s="128">
        <v>48</v>
      </c>
      <c r="C21" s="129">
        <v>33</v>
      </c>
      <c r="D21" s="129">
        <v>30</v>
      </c>
      <c r="E21" s="129">
        <v>60</v>
      </c>
      <c r="F21" s="129">
        <v>122</v>
      </c>
      <c r="G21" s="129">
        <v>92</v>
      </c>
      <c r="H21" s="129">
        <v>73</v>
      </c>
      <c r="I21" s="129">
        <v>174</v>
      </c>
      <c r="J21" s="129">
        <v>389</v>
      </c>
      <c r="K21" s="129">
        <v>661</v>
      </c>
      <c r="L21" s="129">
        <v>398</v>
      </c>
      <c r="M21" s="130">
        <v>171</v>
      </c>
      <c r="N21" s="131">
        <f t="shared" si="0"/>
        <v>2251</v>
      </c>
      <c r="O21" s="116"/>
      <c r="P21" s="116"/>
      <c r="Q21" s="116"/>
    </row>
    <row r="22" spans="1:17" x14ac:dyDescent="0.25">
      <c r="A22" s="127" t="s">
        <v>407</v>
      </c>
      <c r="B22" s="128">
        <v>57</v>
      </c>
      <c r="C22" s="129">
        <v>44</v>
      </c>
      <c r="D22" s="129">
        <v>42</v>
      </c>
      <c r="E22" s="129">
        <v>55</v>
      </c>
      <c r="F22" s="129">
        <v>112</v>
      </c>
      <c r="G22" s="129">
        <v>86</v>
      </c>
      <c r="H22" s="129">
        <v>74</v>
      </c>
      <c r="I22" s="129">
        <v>160</v>
      </c>
      <c r="J22" s="129">
        <v>463</v>
      </c>
      <c r="K22" s="129">
        <v>671</v>
      </c>
      <c r="L22" s="129">
        <v>349</v>
      </c>
      <c r="M22" s="130">
        <v>127</v>
      </c>
      <c r="N22" s="131">
        <f t="shared" si="0"/>
        <v>2240</v>
      </c>
      <c r="O22" s="116"/>
      <c r="P22" s="116"/>
      <c r="Q22" s="116"/>
    </row>
    <row r="23" spans="1:17" x14ac:dyDescent="0.25">
      <c r="A23" s="127" t="s">
        <v>408</v>
      </c>
      <c r="B23" s="128">
        <v>24</v>
      </c>
      <c r="C23" s="129">
        <v>27</v>
      </c>
      <c r="D23" s="129">
        <v>39</v>
      </c>
      <c r="E23" s="129">
        <v>91</v>
      </c>
      <c r="F23" s="129">
        <v>179</v>
      </c>
      <c r="G23" s="129">
        <v>239</v>
      </c>
      <c r="H23" s="129">
        <v>229</v>
      </c>
      <c r="I23" s="129">
        <v>272</v>
      </c>
      <c r="J23" s="129">
        <v>235</v>
      </c>
      <c r="K23" s="129">
        <v>196</v>
      </c>
      <c r="L23" s="129">
        <v>97</v>
      </c>
      <c r="M23" s="130">
        <v>43</v>
      </c>
      <c r="N23" s="131">
        <f t="shared" si="0"/>
        <v>1671</v>
      </c>
      <c r="O23" s="116"/>
      <c r="P23" s="116"/>
      <c r="Q23" s="116"/>
    </row>
    <row r="24" spans="1:17" x14ac:dyDescent="0.25">
      <c r="A24" s="127" t="s">
        <v>409</v>
      </c>
      <c r="B24" s="128">
        <v>39</v>
      </c>
      <c r="C24" s="129">
        <v>42</v>
      </c>
      <c r="D24" s="129">
        <v>62</v>
      </c>
      <c r="E24" s="129">
        <v>110</v>
      </c>
      <c r="F24" s="129">
        <v>311</v>
      </c>
      <c r="G24" s="129">
        <v>448</v>
      </c>
      <c r="H24" s="129">
        <v>520</v>
      </c>
      <c r="I24" s="129">
        <v>409</v>
      </c>
      <c r="J24" s="129">
        <v>250</v>
      </c>
      <c r="K24" s="129">
        <v>171</v>
      </c>
      <c r="L24" s="129">
        <v>91</v>
      </c>
      <c r="M24" s="130">
        <v>41</v>
      </c>
      <c r="N24" s="131">
        <f t="shared" si="0"/>
        <v>2494</v>
      </c>
      <c r="O24" s="116"/>
      <c r="P24" s="116"/>
      <c r="Q24" s="116"/>
    </row>
    <row r="25" spans="1:17" x14ac:dyDescent="0.25">
      <c r="A25" s="127" t="s">
        <v>410</v>
      </c>
      <c r="B25" s="128">
        <v>18</v>
      </c>
      <c r="C25" s="129">
        <v>19</v>
      </c>
      <c r="D25" s="129">
        <v>34</v>
      </c>
      <c r="E25" s="129">
        <v>105</v>
      </c>
      <c r="F25" s="129">
        <v>165</v>
      </c>
      <c r="G25" s="129">
        <v>266</v>
      </c>
      <c r="H25" s="129">
        <v>253</v>
      </c>
      <c r="I25" s="129">
        <v>274</v>
      </c>
      <c r="J25" s="129">
        <v>243</v>
      </c>
      <c r="K25" s="129">
        <v>156</v>
      </c>
      <c r="L25" s="129">
        <v>59</v>
      </c>
      <c r="M25" s="130">
        <v>20</v>
      </c>
      <c r="N25" s="131">
        <f t="shared" si="0"/>
        <v>1612</v>
      </c>
      <c r="O25" s="116"/>
      <c r="P25" s="116"/>
      <c r="Q25" s="116"/>
    </row>
    <row r="26" spans="1:17" x14ac:dyDescent="0.25">
      <c r="A26" s="127" t="s">
        <v>411</v>
      </c>
      <c r="B26" s="128">
        <v>97</v>
      </c>
      <c r="C26" s="129">
        <v>64</v>
      </c>
      <c r="D26" s="129">
        <v>54</v>
      </c>
      <c r="E26" s="129">
        <v>74</v>
      </c>
      <c r="F26" s="129">
        <v>143</v>
      </c>
      <c r="G26" s="129">
        <v>144</v>
      </c>
      <c r="H26" s="129">
        <v>112</v>
      </c>
      <c r="I26" s="129">
        <v>225</v>
      </c>
      <c r="J26" s="129">
        <v>532</v>
      </c>
      <c r="K26" s="129">
        <v>765</v>
      </c>
      <c r="L26" s="129">
        <v>319</v>
      </c>
      <c r="M26" s="130">
        <v>162</v>
      </c>
      <c r="N26" s="131">
        <f t="shared" si="0"/>
        <v>2691</v>
      </c>
      <c r="O26" s="116"/>
      <c r="P26" s="116"/>
      <c r="Q26" s="116"/>
    </row>
    <row r="27" spans="1:17" x14ac:dyDescent="0.25">
      <c r="A27" s="127" t="s">
        <v>412</v>
      </c>
      <c r="B27" s="128">
        <v>24</v>
      </c>
      <c r="C27" s="129">
        <v>24</v>
      </c>
      <c r="D27" s="129">
        <v>44</v>
      </c>
      <c r="E27" s="129">
        <v>92</v>
      </c>
      <c r="F27" s="129">
        <v>167</v>
      </c>
      <c r="G27" s="129">
        <v>237</v>
      </c>
      <c r="H27" s="129">
        <v>232</v>
      </c>
      <c r="I27" s="129">
        <v>274</v>
      </c>
      <c r="J27" s="129">
        <v>211</v>
      </c>
      <c r="K27" s="129">
        <v>143</v>
      </c>
      <c r="L27" s="129">
        <v>47</v>
      </c>
      <c r="M27" s="130">
        <v>21</v>
      </c>
      <c r="N27" s="131">
        <f t="shared" si="0"/>
        <v>1516</v>
      </c>
      <c r="O27" s="116"/>
      <c r="P27" s="116"/>
      <c r="Q27" s="116"/>
    </row>
    <row r="28" spans="1:17" x14ac:dyDescent="0.25">
      <c r="A28" s="127" t="s">
        <v>413</v>
      </c>
      <c r="B28" s="128">
        <v>20</v>
      </c>
      <c r="C28" s="129">
        <v>15</v>
      </c>
      <c r="D28" s="129">
        <v>38</v>
      </c>
      <c r="E28" s="129">
        <v>101</v>
      </c>
      <c r="F28" s="129">
        <v>242</v>
      </c>
      <c r="G28" s="129">
        <v>277</v>
      </c>
      <c r="H28" s="129">
        <v>295</v>
      </c>
      <c r="I28" s="129">
        <v>323</v>
      </c>
      <c r="J28" s="129">
        <v>297</v>
      </c>
      <c r="K28" s="129">
        <v>195</v>
      </c>
      <c r="L28" s="129">
        <v>62</v>
      </c>
      <c r="M28" s="130">
        <v>17</v>
      </c>
      <c r="N28" s="131">
        <f t="shared" si="0"/>
        <v>1882</v>
      </c>
      <c r="O28" s="116"/>
      <c r="P28" s="116"/>
      <c r="Q28" s="116"/>
    </row>
    <row r="29" spans="1:17" x14ac:dyDescent="0.25">
      <c r="A29" s="127" t="s">
        <v>414</v>
      </c>
      <c r="B29" s="128">
        <v>13</v>
      </c>
      <c r="C29" s="129">
        <v>12</v>
      </c>
      <c r="D29" s="129">
        <v>23</v>
      </c>
      <c r="E29" s="129">
        <v>44</v>
      </c>
      <c r="F29" s="129">
        <v>74</v>
      </c>
      <c r="G29" s="129">
        <v>117</v>
      </c>
      <c r="H29" s="129">
        <v>225</v>
      </c>
      <c r="I29" s="129">
        <v>162</v>
      </c>
      <c r="J29" s="129">
        <v>216</v>
      </c>
      <c r="K29" s="129">
        <v>241</v>
      </c>
      <c r="L29" s="129">
        <v>152</v>
      </c>
      <c r="M29" s="130">
        <v>30</v>
      </c>
      <c r="N29" s="131">
        <f t="shared" si="0"/>
        <v>1309</v>
      </c>
      <c r="O29" s="116"/>
      <c r="P29" s="116"/>
      <c r="Q29" s="116"/>
    </row>
    <row r="30" spans="1:17" x14ac:dyDescent="0.25">
      <c r="A30" s="127" t="s">
        <v>415</v>
      </c>
      <c r="B30" s="128">
        <v>23</v>
      </c>
      <c r="C30" s="129">
        <v>25</v>
      </c>
      <c r="D30" s="129">
        <v>41</v>
      </c>
      <c r="E30" s="129">
        <v>91</v>
      </c>
      <c r="F30" s="129">
        <v>170</v>
      </c>
      <c r="G30" s="129">
        <v>299</v>
      </c>
      <c r="H30" s="129">
        <v>327</v>
      </c>
      <c r="I30" s="129">
        <v>445</v>
      </c>
      <c r="J30" s="129">
        <v>282</v>
      </c>
      <c r="K30" s="129">
        <v>159</v>
      </c>
      <c r="L30" s="129">
        <v>37</v>
      </c>
      <c r="M30" s="130">
        <v>19</v>
      </c>
      <c r="N30" s="131">
        <f t="shared" si="0"/>
        <v>1918</v>
      </c>
      <c r="O30" s="116"/>
      <c r="P30" s="116"/>
      <c r="Q30" s="116"/>
    </row>
    <row r="31" spans="1:17" x14ac:dyDescent="0.25">
      <c r="A31" s="127" t="s">
        <v>416</v>
      </c>
      <c r="B31" s="128">
        <v>126</v>
      </c>
      <c r="C31" s="129">
        <v>65</v>
      </c>
      <c r="D31" s="129">
        <v>43</v>
      </c>
      <c r="E31" s="129">
        <v>58</v>
      </c>
      <c r="F31" s="129">
        <v>102</v>
      </c>
      <c r="G31" s="129">
        <v>113</v>
      </c>
      <c r="H31" s="129">
        <v>92</v>
      </c>
      <c r="I31" s="129">
        <v>117</v>
      </c>
      <c r="J31" s="129">
        <v>394</v>
      </c>
      <c r="K31" s="129">
        <v>757</v>
      </c>
      <c r="L31" s="129">
        <v>621</v>
      </c>
      <c r="M31" s="130">
        <v>311</v>
      </c>
      <c r="N31" s="131">
        <f t="shared" si="0"/>
        <v>2799</v>
      </c>
      <c r="O31" s="116"/>
      <c r="P31" s="116"/>
      <c r="Q31" s="116"/>
    </row>
    <row r="32" spans="1:17" x14ac:dyDescent="0.25">
      <c r="A32" s="127" t="s">
        <v>417</v>
      </c>
      <c r="B32" s="128">
        <v>26</v>
      </c>
      <c r="C32" s="129">
        <v>25</v>
      </c>
      <c r="D32" s="129">
        <v>48</v>
      </c>
      <c r="E32" s="129">
        <v>92</v>
      </c>
      <c r="F32" s="129">
        <v>172</v>
      </c>
      <c r="G32" s="129">
        <v>229</v>
      </c>
      <c r="H32" s="129">
        <v>219</v>
      </c>
      <c r="I32" s="129">
        <v>286</v>
      </c>
      <c r="J32" s="129">
        <v>261</v>
      </c>
      <c r="K32" s="129">
        <v>187</v>
      </c>
      <c r="L32" s="129">
        <v>75</v>
      </c>
      <c r="M32" s="130">
        <v>24</v>
      </c>
      <c r="N32" s="131">
        <f t="shared" si="0"/>
        <v>1644</v>
      </c>
      <c r="O32" s="116"/>
      <c r="P32" s="116"/>
      <c r="Q32" s="116"/>
    </row>
    <row r="33" spans="1:17" x14ac:dyDescent="0.25">
      <c r="A33" s="127" t="s">
        <v>418</v>
      </c>
      <c r="B33" s="128">
        <v>1</v>
      </c>
      <c r="C33" s="129">
        <v>10</v>
      </c>
      <c r="D33" s="129">
        <v>28</v>
      </c>
      <c r="E33" s="129">
        <v>93</v>
      </c>
      <c r="F33" s="129">
        <v>220</v>
      </c>
      <c r="G33" s="129">
        <v>259</v>
      </c>
      <c r="H33" s="129">
        <v>293</v>
      </c>
      <c r="I33" s="129">
        <v>325</v>
      </c>
      <c r="J33" s="129">
        <v>295</v>
      </c>
      <c r="K33" s="129">
        <v>177</v>
      </c>
      <c r="L33" s="129">
        <v>62</v>
      </c>
      <c r="M33" s="130">
        <v>9</v>
      </c>
      <c r="N33" s="131">
        <f t="shared" si="0"/>
        <v>1772</v>
      </c>
      <c r="O33" s="116"/>
      <c r="P33" s="116"/>
      <c r="Q33" s="116"/>
    </row>
    <row r="34" spans="1:17" x14ac:dyDescent="0.25">
      <c r="A34" s="127" t="s">
        <v>419</v>
      </c>
      <c r="B34" s="128">
        <v>27</v>
      </c>
      <c r="C34" s="129">
        <v>36</v>
      </c>
      <c r="D34" s="129">
        <v>60</v>
      </c>
      <c r="E34" s="129">
        <v>135</v>
      </c>
      <c r="F34" s="129">
        <v>258</v>
      </c>
      <c r="G34" s="129">
        <v>438</v>
      </c>
      <c r="H34" s="129">
        <v>467</v>
      </c>
      <c r="I34" s="129">
        <v>372</v>
      </c>
      <c r="J34" s="129">
        <v>146</v>
      </c>
      <c r="K34" s="129">
        <v>91</v>
      </c>
      <c r="L34" s="129">
        <v>51</v>
      </c>
      <c r="M34" s="130">
        <v>25</v>
      </c>
      <c r="N34" s="131">
        <f t="shared" si="0"/>
        <v>2106</v>
      </c>
      <c r="O34" s="116"/>
      <c r="P34" s="116"/>
      <c r="Q34" s="116"/>
    </row>
    <row r="35" spans="1:17" x14ac:dyDescent="0.25">
      <c r="A35" s="127" t="s">
        <v>420</v>
      </c>
      <c r="B35" s="128">
        <v>31</v>
      </c>
      <c r="C35" s="129">
        <v>38</v>
      </c>
      <c r="D35" s="129">
        <v>49</v>
      </c>
      <c r="E35" s="129">
        <v>97</v>
      </c>
      <c r="F35" s="129">
        <v>167</v>
      </c>
      <c r="G35" s="129">
        <v>189</v>
      </c>
      <c r="H35" s="129">
        <v>229</v>
      </c>
      <c r="I35" s="129">
        <v>232</v>
      </c>
      <c r="J35" s="129">
        <v>130</v>
      </c>
      <c r="K35" s="129">
        <v>82</v>
      </c>
      <c r="L35" s="129">
        <v>36</v>
      </c>
      <c r="M35" s="130">
        <v>20</v>
      </c>
      <c r="N35" s="131">
        <f t="shared" si="0"/>
        <v>1300</v>
      </c>
      <c r="O35" s="116"/>
      <c r="P35" s="116"/>
      <c r="Q35" s="116"/>
    </row>
    <row r="36" spans="1:17" x14ac:dyDescent="0.25">
      <c r="A36" s="127" t="s">
        <v>421</v>
      </c>
      <c r="B36" s="128">
        <v>22</v>
      </c>
      <c r="C36" s="129">
        <v>33</v>
      </c>
      <c r="D36" s="129">
        <v>58</v>
      </c>
      <c r="E36" s="129">
        <v>129</v>
      </c>
      <c r="F36" s="129">
        <v>171</v>
      </c>
      <c r="G36" s="129">
        <v>239</v>
      </c>
      <c r="H36" s="129">
        <v>302</v>
      </c>
      <c r="I36" s="129">
        <v>355</v>
      </c>
      <c r="J36" s="129">
        <v>222</v>
      </c>
      <c r="K36" s="129">
        <v>153</v>
      </c>
      <c r="L36" s="129">
        <v>54</v>
      </c>
      <c r="M36" s="130">
        <v>27</v>
      </c>
      <c r="N36" s="131">
        <f t="shared" si="0"/>
        <v>1765</v>
      </c>
      <c r="O36" s="116"/>
      <c r="P36" s="116"/>
      <c r="Q36" s="116"/>
    </row>
    <row r="37" spans="1:17" x14ac:dyDescent="0.25">
      <c r="A37" s="127" t="s">
        <v>422</v>
      </c>
      <c r="B37" s="128">
        <v>14</v>
      </c>
      <c r="C37" s="129">
        <v>7</v>
      </c>
      <c r="D37" s="129">
        <v>13</v>
      </c>
      <c r="E37" s="129">
        <v>60</v>
      </c>
      <c r="F37" s="129">
        <v>185</v>
      </c>
      <c r="G37" s="129">
        <v>165</v>
      </c>
      <c r="H37" s="129">
        <v>180</v>
      </c>
      <c r="I37" s="129">
        <v>173</v>
      </c>
      <c r="J37" s="129">
        <v>253</v>
      </c>
      <c r="K37" s="129">
        <v>317</v>
      </c>
      <c r="L37" s="129">
        <v>152</v>
      </c>
      <c r="M37" s="130">
        <v>40</v>
      </c>
      <c r="N37" s="131">
        <f t="shared" ref="N37:N68" si="1">SUM(B37:M37)</f>
        <v>1559</v>
      </c>
      <c r="O37" s="116"/>
      <c r="P37" s="116"/>
      <c r="Q37" s="116"/>
    </row>
    <row r="38" spans="1:17" x14ac:dyDescent="0.25">
      <c r="A38" s="127" t="s">
        <v>423</v>
      </c>
      <c r="B38" s="128">
        <v>5</v>
      </c>
      <c r="C38" s="129">
        <v>1</v>
      </c>
      <c r="D38" s="129">
        <v>6</v>
      </c>
      <c r="E38" s="129">
        <v>42</v>
      </c>
      <c r="F38" s="129">
        <v>145</v>
      </c>
      <c r="G38" s="129">
        <v>198</v>
      </c>
      <c r="H38" s="129">
        <v>177</v>
      </c>
      <c r="I38" s="129">
        <v>188</v>
      </c>
      <c r="J38" s="129">
        <v>231</v>
      </c>
      <c r="K38" s="129">
        <v>262</v>
      </c>
      <c r="L38" s="129">
        <v>98</v>
      </c>
      <c r="M38" s="130">
        <v>32</v>
      </c>
      <c r="N38" s="131">
        <f t="shared" si="1"/>
        <v>1385</v>
      </c>
      <c r="O38" s="116"/>
      <c r="P38" s="116"/>
      <c r="Q38" s="116"/>
    </row>
    <row r="39" spans="1:17" x14ac:dyDescent="0.25">
      <c r="A39" s="127" t="s">
        <v>424</v>
      </c>
      <c r="B39" s="128">
        <v>24</v>
      </c>
      <c r="C39" s="129">
        <v>29</v>
      </c>
      <c r="D39" s="129">
        <v>49</v>
      </c>
      <c r="E39" s="129">
        <v>93</v>
      </c>
      <c r="F39" s="129">
        <v>177</v>
      </c>
      <c r="G39" s="129">
        <v>206</v>
      </c>
      <c r="H39" s="129">
        <v>230</v>
      </c>
      <c r="I39" s="129">
        <v>296</v>
      </c>
      <c r="J39" s="129">
        <v>323</v>
      </c>
      <c r="K39" s="129">
        <v>226</v>
      </c>
      <c r="L39" s="129">
        <v>62</v>
      </c>
      <c r="M39" s="130">
        <v>28</v>
      </c>
      <c r="N39" s="131">
        <f t="shared" si="1"/>
        <v>1743</v>
      </c>
      <c r="O39" s="116"/>
      <c r="P39" s="116"/>
      <c r="Q39" s="116"/>
    </row>
    <row r="40" spans="1:17" x14ac:dyDescent="0.25">
      <c r="A40" s="127" t="s">
        <v>425</v>
      </c>
      <c r="B40" s="128">
        <v>38</v>
      </c>
      <c r="C40" s="129">
        <v>16</v>
      </c>
      <c r="D40" s="129">
        <v>31</v>
      </c>
      <c r="E40" s="129">
        <v>35</v>
      </c>
      <c r="F40" s="129">
        <v>70</v>
      </c>
      <c r="G40" s="129">
        <v>59</v>
      </c>
      <c r="H40" s="129">
        <v>36</v>
      </c>
      <c r="I40" s="129">
        <v>50</v>
      </c>
      <c r="J40" s="129">
        <v>159</v>
      </c>
      <c r="K40" s="129">
        <v>302</v>
      </c>
      <c r="L40" s="129">
        <v>332</v>
      </c>
      <c r="M40" s="130">
        <v>153</v>
      </c>
      <c r="N40" s="131">
        <f t="shared" si="1"/>
        <v>1281</v>
      </c>
      <c r="O40" s="116"/>
      <c r="P40" s="116"/>
      <c r="Q40" s="116"/>
    </row>
    <row r="41" spans="1:17" x14ac:dyDescent="0.25">
      <c r="A41" s="127" t="s">
        <v>426</v>
      </c>
      <c r="B41" s="128">
        <v>24</v>
      </c>
      <c r="C41" s="129">
        <v>29</v>
      </c>
      <c r="D41" s="129">
        <v>48</v>
      </c>
      <c r="E41" s="129">
        <v>78</v>
      </c>
      <c r="F41" s="129">
        <v>165</v>
      </c>
      <c r="G41" s="129">
        <v>232</v>
      </c>
      <c r="H41" s="129">
        <v>224</v>
      </c>
      <c r="I41" s="129">
        <v>317</v>
      </c>
      <c r="J41" s="129">
        <v>369</v>
      </c>
      <c r="K41" s="129">
        <v>244</v>
      </c>
      <c r="L41" s="129">
        <v>68</v>
      </c>
      <c r="M41" s="130">
        <v>32</v>
      </c>
      <c r="N41" s="131">
        <f t="shared" si="1"/>
        <v>1830</v>
      </c>
      <c r="O41" s="116"/>
      <c r="P41" s="116"/>
      <c r="Q41" s="116"/>
    </row>
    <row r="42" spans="1:17" x14ac:dyDescent="0.25">
      <c r="A42" s="127" t="s">
        <v>427</v>
      </c>
      <c r="B42" s="128">
        <v>1</v>
      </c>
      <c r="C42" s="129">
        <v>0</v>
      </c>
      <c r="D42" s="129">
        <v>6</v>
      </c>
      <c r="E42" s="129">
        <v>30</v>
      </c>
      <c r="F42" s="129">
        <v>136</v>
      </c>
      <c r="G42" s="129">
        <v>145</v>
      </c>
      <c r="H42" s="129">
        <v>165</v>
      </c>
      <c r="I42" s="129">
        <v>164</v>
      </c>
      <c r="J42" s="129">
        <v>192</v>
      </c>
      <c r="K42" s="129">
        <v>155</v>
      </c>
      <c r="L42" s="129">
        <v>58</v>
      </c>
      <c r="M42" s="130">
        <v>20</v>
      </c>
      <c r="N42" s="131">
        <f t="shared" si="1"/>
        <v>1072</v>
      </c>
      <c r="O42" s="116"/>
      <c r="P42" s="116"/>
      <c r="Q42" s="116"/>
    </row>
    <row r="43" spans="1:17" x14ac:dyDescent="0.25">
      <c r="A43" s="127" t="s">
        <v>428</v>
      </c>
      <c r="B43" s="128">
        <v>26</v>
      </c>
      <c r="C43" s="129">
        <v>29</v>
      </c>
      <c r="D43" s="129">
        <v>49</v>
      </c>
      <c r="E43" s="129">
        <v>93</v>
      </c>
      <c r="F43" s="129">
        <v>202</v>
      </c>
      <c r="G43" s="129">
        <v>247</v>
      </c>
      <c r="H43" s="129">
        <v>226</v>
      </c>
      <c r="I43" s="129">
        <v>359</v>
      </c>
      <c r="J43" s="129">
        <v>253</v>
      </c>
      <c r="K43" s="129">
        <v>155</v>
      </c>
      <c r="L43" s="129">
        <v>39</v>
      </c>
      <c r="M43" s="130">
        <v>20</v>
      </c>
      <c r="N43" s="131">
        <f t="shared" si="1"/>
        <v>1698</v>
      </c>
      <c r="O43" s="116"/>
      <c r="P43" s="116"/>
      <c r="Q43" s="116"/>
    </row>
    <row r="44" spans="1:17" x14ac:dyDescent="0.25">
      <c r="A44" s="127" t="s">
        <v>429</v>
      </c>
      <c r="B44" s="128">
        <v>34</v>
      </c>
      <c r="C44" s="129">
        <v>29</v>
      </c>
      <c r="D44" s="129">
        <v>54</v>
      </c>
      <c r="E44" s="129">
        <v>149</v>
      </c>
      <c r="F44" s="129">
        <v>298</v>
      </c>
      <c r="G44" s="129">
        <v>413</v>
      </c>
      <c r="H44" s="129">
        <v>418</v>
      </c>
      <c r="I44" s="129">
        <v>546</v>
      </c>
      <c r="J44" s="129">
        <v>473</v>
      </c>
      <c r="K44" s="129">
        <v>387</v>
      </c>
      <c r="L44" s="129">
        <v>169</v>
      </c>
      <c r="M44" s="130">
        <v>59</v>
      </c>
      <c r="N44" s="131">
        <f t="shared" si="1"/>
        <v>3029</v>
      </c>
      <c r="O44" s="116"/>
      <c r="P44" s="116"/>
      <c r="Q44" s="116"/>
    </row>
    <row r="45" spans="1:17" x14ac:dyDescent="0.25">
      <c r="A45" s="127" t="s">
        <v>430</v>
      </c>
      <c r="B45" s="128">
        <v>14</v>
      </c>
      <c r="C45" s="129">
        <v>16</v>
      </c>
      <c r="D45" s="129">
        <v>41</v>
      </c>
      <c r="E45" s="129">
        <v>121</v>
      </c>
      <c r="F45" s="129">
        <v>290</v>
      </c>
      <c r="G45" s="129">
        <v>382</v>
      </c>
      <c r="H45" s="129">
        <v>401</v>
      </c>
      <c r="I45" s="129">
        <v>462</v>
      </c>
      <c r="J45" s="129">
        <v>468</v>
      </c>
      <c r="K45" s="129">
        <v>322</v>
      </c>
      <c r="L45" s="129">
        <v>119</v>
      </c>
      <c r="M45" s="130">
        <v>31</v>
      </c>
      <c r="N45" s="131">
        <f t="shared" si="1"/>
        <v>2667</v>
      </c>
      <c r="O45" s="116"/>
      <c r="P45" s="116"/>
      <c r="Q45" s="116"/>
    </row>
    <row r="46" spans="1:17" x14ac:dyDescent="0.25">
      <c r="A46" s="127" t="s">
        <v>431</v>
      </c>
      <c r="B46" s="128">
        <v>3</v>
      </c>
      <c r="C46" s="129">
        <v>6</v>
      </c>
      <c r="D46" s="129">
        <v>22</v>
      </c>
      <c r="E46" s="129">
        <v>93</v>
      </c>
      <c r="F46" s="129">
        <v>245</v>
      </c>
      <c r="G46" s="129">
        <v>344</v>
      </c>
      <c r="H46" s="129">
        <v>390</v>
      </c>
      <c r="I46" s="129">
        <v>476</v>
      </c>
      <c r="J46" s="129">
        <v>362</v>
      </c>
      <c r="K46" s="129">
        <v>189</v>
      </c>
      <c r="L46" s="129">
        <v>64</v>
      </c>
      <c r="M46" s="130">
        <v>11</v>
      </c>
      <c r="N46" s="131">
        <f t="shared" si="1"/>
        <v>2205</v>
      </c>
      <c r="O46" s="116"/>
      <c r="P46" s="116"/>
      <c r="Q46" s="116"/>
    </row>
    <row r="47" spans="1:17" x14ac:dyDescent="0.25">
      <c r="A47" s="127" t="s">
        <v>432</v>
      </c>
      <c r="B47" s="128">
        <v>123</v>
      </c>
      <c r="C47" s="129">
        <v>41</v>
      </c>
      <c r="D47" s="129">
        <v>38</v>
      </c>
      <c r="E47" s="129">
        <v>49</v>
      </c>
      <c r="F47" s="129">
        <v>99</v>
      </c>
      <c r="G47" s="129">
        <v>110</v>
      </c>
      <c r="H47" s="129">
        <v>92</v>
      </c>
      <c r="I47" s="129">
        <v>126</v>
      </c>
      <c r="J47" s="129">
        <v>303</v>
      </c>
      <c r="K47" s="129">
        <v>639</v>
      </c>
      <c r="L47" s="129">
        <v>563</v>
      </c>
      <c r="M47" s="130">
        <v>284</v>
      </c>
      <c r="N47" s="131">
        <f t="shared" si="1"/>
        <v>2467</v>
      </c>
      <c r="O47" s="116"/>
      <c r="P47" s="116"/>
      <c r="Q47" s="116"/>
    </row>
    <row r="48" spans="1:17" x14ac:dyDescent="0.25">
      <c r="A48" s="127" t="s">
        <v>433</v>
      </c>
      <c r="B48" s="128">
        <v>64</v>
      </c>
      <c r="C48" s="129">
        <v>28</v>
      </c>
      <c r="D48" s="129">
        <v>24</v>
      </c>
      <c r="E48" s="129">
        <v>31</v>
      </c>
      <c r="F48" s="129">
        <v>84</v>
      </c>
      <c r="G48" s="129">
        <v>64</v>
      </c>
      <c r="H48" s="129">
        <v>38</v>
      </c>
      <c r="I48" s="129">
        <v>62</v>
      </c>
      <c r="J48" s="129">
        <v>227</v>
      </c>
      <c r="K48" s="129">
        <v>549</v>
      </c>
      <c r="L48" s="129">
        <v>437</v>
      </c>
      <c r="M48" s="130">
        <v>199</v>
      </c>
      <c r="N48" s="131">
        <f t="shared" si="1"/>
        <v>1807</v>
      </c>
      <c r="O48" s="116"/>
      <c r="P48" s="116"/>
      <c r="Q48" s="116"/>
    </row>
    <row r="49" spans="1:17" x14ac:dyDescent="0.25">
      <c r="A49" s="127" t="s">
        <v>434</v>
      </c>
      <c r="B49" s="128">
        <v>11</v>
      </c>
      <c r="C49" s="129">
        <v>7</v>
      </c>
      <c r="D49" s="129">
        <v>25</v>
      </c>
      <c r="E49" s="129">
        <v>97</v>
      </c>
      <c r="F49" s="129">
        <v>249</v>
      </c>
      <c r="G49" s="129">
        <v>277</v>
      </c>
      <c r="H49" s="129">
        <v>309</v>
      </c>
      <c r="I49" s="129">
        <v>369</v>
      </c>
      <c r="J49" s="129">
        <v>300</v>
      </c>
      <c r="K49" s="129">
        <v>295</v>
      </c>
      <c r="L49" s="129">
        <v>173</v>
      </c>
      <c r="M49" s="130">
        <v>44</v>
      </c>
      <c r="N49" s="131">
        <f t="shared" si="1"/>
        <v>2156</v>
      </c>
      <c r="O49" s="116"/>
      <c r="P49" s="116"/>
      <c r="Q49" s="116"/>
    </row>
    <row r="50" spans="1:17" x14ac:dyDescent="0.25">
      <c r="A50" s="127" t="s">
        <v>435</v>
      </c>
      <c r="B50" s="128">
        <v>63</v>
      </c>
      <c r="C50" s="129">
        <v>81</v>
      </c>
      <c r="D50" s="129">
        <v>106</v>
      </c>
      <c r="E50" s="129">
        <v>213</v>
      </c>
      <c r="F50" s="129">
        <v>346</v>
      </c>
      <c r="G50" s="129">
        <v>410</v>
      </c>
      <c r="H50" s="129">
        <v>465</v>
      </c>
      <c r="I50" s="129">
        <v>449</v>
      </c>
      <c r="J50" s="129">
        <v>313</v>
      </c>
      <c r="K50" s="129">
        <v>215</v>
      </c>
      <c r="L50" s="129">
        <v>112</v>
      </c>
      <c r="M50" s="130">
        <v>64</v>
      </c>
      <c r="N50" s="131">
        <f t="shared" si="1"/>
        <v>2837</v>
      </c>
      <c r="O50" s="116"/>
      <c r="P50" s="116"/>
      <c r="Q50" s="116"/>
    </row>
    <row r="51" spans="1:17" x14ac:dyDescent="0.25">
      <c r="A51" s="127" t="s">
        <v>436</v>
      </c>
      <c r="B51" s="128">
        <v>5</v>
      </c>
      <c r="C51" s="129">
        <v>3</v>
      </c>
      <c r="D51" s="129">
        <v>11</v>
      </c>
      <c r="E51" s="129">
        <v>64</v>
      </c>
      <c r="F51" s="129">
        <v>231</v>
      </c>
      <c r="G51" s="129">
        <v>277</v>
      </c>
      <c r="H51" s="129">
        <v>267</v>
      </c>
      <c r="I51" s="129">
        <v>299</v>
      </c>
      <c r="J51" s="129">
        <v>287</v>
      </c>
      <c r="K51" s="129">
        <v>314</v>
      </c>
      <c r="L51" s="129">
        <v>135</v>
      </c>
      <c r="M51" s="130">
        <v>34</v>
      </c>
      <c r="N51" s="131">
        <f t="shared" si="1"/>
        <v>1927</v>
      </c>
      <c r="O51" s="116"/>
      <c r="P51" s="116"/>
      <c r="Q51" s="116"/>
    </row>
    <row r="52" spans="1:17" x14ac:dyDescent="0.25">
      <c r="A52" s="127" t="s">
        <v>437</v>
      </c>
      <c r="B52" s="128">
        <v>18</v>
      </c>
      <c r="C52" s="129">
        <v>26</v>
      </c>
      <c r="D52" s="129">
        <v>48</v>
      </c>
      <c r="E52" s="129">
        <v>115</v>
      </c>
      <c r="F52" s="129">
        <v>187</v>
      </c>
      <c r="G52" s="129">
        <v>255</v>
      </c>
      <c r="H52" s="129">
        <v>265</v>
      </c>
      <c r="I52" s="129">
        <v>268</v>
      </c>
      <c r="J52" s="129">
        <v>136</v>
      </c>
      <c r="K52" s="129">
        <v>65</v>
      </c>
      <c r="L52" s="129">
        <v>35</v>
      </c>
      <c r="M52" s="130">
        <v>16</v>
      </c>
      <c r="N52" s="131">
        <f t="shared" si="1"/>
        <v>1434</v>
      </c>
      <c r="O52" s="116"/>
      <c r="P52" s="116"/>
      <c r="Q52" s="116"/>
    </row>
    <row r="53" spans="1:17" x14ac:dyDescent="0.25">
      <c r="A53" s="127" t="s">
        <v>438</v>
      </c>
      <c r="B53" s="128">
        <v>22</v>
      </c>
      <c r="C53" s="129">
        <v>25</v>
      </c>
      <c r="D53" s="129">
        <v>44</v>
      </c>
      <c r="E53" s="129">
        <v>105</v>
      </c>
      <c r="F53" s="129">
        <v>226</v>
      </c>
      <c r="G53" s="129">
        <v>281</v>
      </c>
      <c r="H53" s="129">
        <v>330</v>
      </c>
      <c r="I53" s="129">
        <v>298</v>
      </c>
      <c r="J53" s="129">
        <v>229</v>
      </c>
      <c r="K53" s="129">
        <v>172</v>
      </c>
      <c r="L53" s="129">
        <v>66</v>
      </c>
      <c r="M53" s="130">
        <v>20</v>
      </c>
      <c r="N53" s="131">
        <f t="shared" si="1"/>
        <v>1818</v>
      </c>
      <c r="O53" s="116"/>
      <c r="P53" s="116"/>
      <c r="Q53" s="116"/>
    </row>
    <row r="54" spans="1:17" x14ac:dyDescent="0.25">
      <c r="A54" s="127" t="s">
        <v>439</v>
      </c>
      <c r="B54" s="128">
        <v>37</v>
      </c>
      <c r="C54" s="129">
        <v>47</v>
      </c>
      <c r="D54" s="129">
        <v>83</v>
      </c>
      <c r="E54" s="129">
        <v>142</v>
      </c>
      <c r="F54" s="129">
        <v>234</v>
      </c>
      <c r="G54" s="129">
        <v>375</v>
      </c>
      <c r="H54" s="129">
        <v>433</v>
      </c>
      <c r="I54" s="129">
        <v>456</v>
      </c>
      <c r="J54" s="129">
        <v>328</v>
      </c>
      <c r="K54" s="129">
        <v>226</v>
      </c>
      <c r="L54" s="129">
        <v>96</v>
      </c>
      <c r="M54" s="130">
        <v>36</v>
      </c>
      <c r="N54" s="131">
        <f t="shared" si="1"/>
        <v>2493</v>
      </c>
      <c r="O54" s="116"/>
      <c r="P54" s="116"/>
      <c r="Q54" s="116"/>
    </row>
    <row r="55" spans="1:17" x14ac:dyDescent="0.25">
      <c r="A55" s="127" t="s">
        <v>374</v>
      </c>
      <c r="B55" s="128">
        <v>12</v>
      </c>
      <c r="C55" s="129">
        <v>4</v>
      </c>
      <c r="D55" s="129">
        <v>13</v>
      </c>
      <c r="E55" s="129">
        <v>51</v>
      </c>
      <c r="F55" s="129">
        <v>207</v>
      </c>
      <c r="G55" s="129">
        <v>294</v>
      </c>
      <c r="H55" s="129">
        <v>307</v>
      </c>
      <c r="I55" s="129">
        <v>281</v>
      </c>
      <c r="J55" s="129">
        <v>305</v>
      </c>
      <c r="K55" s="129">
        <v>291</v>
      </c>
      <c r="L55" s="129">
        <v>135</v>
      </c>
      <c r="M55" s="130">
        <v>28</v>
      </c>
      <c r="N55" s="131">
        <f t="shared" si="1"/>
        <v>1928</v>
      </c>
      <c r="O55" s="116"/>
      <c r="P55" s="116"/>
      <c r="Q55" s="116"/>
    </row>
    <row r="56" spans="1:17" x14ac:dyDescent="0.25">
      <c r="A56" s="127" t="s">
        <v>440</v>
      </c>
      <c r="B56" s="128">
        <v>13</v>
      </c>
      <c r="C56" s="129">
        <v>11</v>
      </c>
      <c r="D56" s="129">
        <v>24</v>
      </c>
      <c r="E56" s="129">
        <v>104</v>
      </c>
      <c r="F56" s="129">
        <v>203</v>
      </c>
      <c r="G56" s="129">
        <v>265</v>
      </c>
      <c r="H56" s="129">
        <v>257</v>
      </c>
      <c r="I56" s="129">
        <v>234</v>
      </c>
      <c r="J56" s="129">
        <v>353</v>
      </c>
      <c r="K56" s="129">
        <v>317</v>
      </c>
      <c r="L56" s="129">
        <v>139</v>
      </c>
      <c r="M56" s="130">
        <v>48</v>
      </c>
      <c r="N56" s="131">
        <f t="shared" si="1"/>
        <v>1968</v>
      </c>
      <c r="O56" s="116"/>
      <c r="P56" s="116"/>
      <c r="Q56" s="116"/>
    </row>
    <row r="57" spans="1:17" x14ac:dyDescent="0.25">
      <c r="A57" s="127" t="s">
        <v>441</v>
      </c>
      <c r="B57" s="128">
        <v>26</v>
      </c>
      <c r="C57" s="129">
        <v>27</v>
      </c>
      <c r="D57" s="129">
        <v>49</v>
      </c>
      <c r="E57" s="129">
        <v>84</v>
      </c>
      <c r="F57" s="129">
        <v>164</v>
      </c>
      <c r="G57" s="129">
        <v>201</v>
      </c>
      <c r="H57" s="129">
        <v>207</v>
      </c>
      <c r="I57" s="129">
        <v>298</v>
      </c>
      <c r="J57" s="129">
        <v>318</v>
      </c>
      <c r="K57" s="129">
        <v>224</v>
      </c>
      <c r="L57" s="129">
        <v>65</v>
      </c>
      <c r="M57" s="130">
        <v>25</v>
      </c>
      <c r="N57" s="131">
        <f t="shared" si="1"/>
        <v>1688</v>
      </c>
      <c r="O57" s="116"/>
      <c r="P57" s="116"/>
      <c r="Q57" s="116"/>
    </row>
    <row r="58" spans="1:17" x14ac:dyDescent="0.25">
      <c r="A58" s="127" t="s">
        <v>442</v>
      </c>
      <c r="B58" s="128">
        <v>25</v>
      </c>
      <c r="C58" s="129">
        <v>35</v>
      </c>
      <c r="D58" s="129">
        <v>62</v>
      </c>
      <c r="E58" s="129">
        <v>121</v>
      </c>
      <c r="F58" s="129">
        <v>232</v>
      </c>
      <c r="G58" s="129">
        <v>338</v>
      </c>
      <c r="H58" s="129">
        <v>410</v>
      </c>
      <c r="I58" s="129">
        <v>347</v>
      </c>
      <c r="J58" s="129">
        <v>237</v>
      </c>
      <c r="K58" s="129">
        <v>146</v>
      </c>
      <c r="L58" s="129">
        <v>49</v>
      </c>
      <c r="M58" s="130">
        <v>24</v>
      </c>
      <c r="N58" s="131">
        <f t="shared" si="1"/>
        <v>2026</v>
      </c>
      <c r="O58" s="116"/>
      <c r="P58" s="116"/>
      <c r="Q58" s="116"/>
    </row>
    <row r="59" spans="1:17" x14ac:dyDescent="0.25">
      <c r="A59" s="127" t="s">
        <v>443</v>
      </c>
      <c r="B59" s="128">
        <v>22</v>
      </c>
      <c r="C59" s="129">
        <v>27</v>
      </c>
      <c r="D59" s="129">
        <v>40</v>
      </c>
      <c r="E59" s="129">
        <v>56</v>
      </c>
      <c r="F59" s="129">
        <v>137</v>
      </c>
      <c r="G59" s="129">
        <v>193</v>
      </c>
      <c r="H59" s="129">
        <v>187</v>
      </c>
      <c r="I59" s="129">
        <v>275</v>
      </c>
      <c r="J59" s="129">
        <v>409</v>
      </c>
      <c r="K59" s="129">
        <v>288</v>
      </c>
      <c r="L59" s="129">
        <v>87</v>
      </c>
      <c r="M59" s="130">
        <v>27</v>
      </c>
      <c r="N59" s="131">
        <f t="shared" si="1"/>
        <v>1748</v>
      </c>
      <c r="O59" s="116"/>
      <c r="P59" s="116"/>
      <c r="Q59" s="116"/>
    </row>
    <row r="60" spans="1:17" x14ac:dyDescent="0.25">
      <c r="A60" s="127" t="s">
        <v>444</v>
      </c>
      <c r="B60" s="128">
        <v>117</v>
      </c>
      <c r="C60" s="129">
        <v>68</v>
      </c>
      <c r="D60" s="129">
        <v>43</v>
      </c>
      <c r="E60" s="129">
        <v>51</v>
      </c>
      <c r="F60" s="129">
        <v>109</v>
      </c>
      <c r="G60" s="129">
        <v>238</v>
      </c>
      <c r="H60" s="129">
        <v>237</v>
      </c>
      <c r="I60" s="129">
        <v>236</v>
      </c>
      <c r="J60" s="129">
        <v>247</v>
      </c>
      <c r="K60" s="129">
        <v>285</v>
      </c>
      <c r="L60" s="129">
        <v>409</v>
      </c>
      <c r="M60" s="130">
        <v>373</v>
      </c>
      <c r="N60" s="131">
        <f t="shared" si="1"/>
        <v>2413</v>
      </c>
      <c r="O60" s="116"/>
      <c r="P60" s="116"/>
      <c r="Q60" s="116"/>
    </row>
    <row r="61" spans="1:17" x14ac:dyDescent="0.25">
      <c r="A61" s="127" t="s">
        <v>445</v>
      </c>
      <c r="B61" s="128">
        <v>57</v>
      </c>
      <c r="C61" s="129">
        <v>20</v>
      </c>
      <c r="D61" s="129">
        <v>25</v>
      </c>
      <c r="E61" s="129">
        <v>34</v>
      </c>
      <c r="F61" s="129">
        <v>77</v>
      </c>
      <c r="G61" s="129">
        <v>56</v>
      </c>
      <c r="H61" s="129">
        <v>45</v>
      </c>
      <c r="I61" s="129">
        <v>52</v>
      </c>
      <c r="J61" s="129">
        <v>234</v>
      </c>
      <c r="K61" s="129">
        <v>579</v>
      </c>
      <c r="L61" s="129">
        <v>454</v>
      </c>
      <c r="M61" s="130">
        <v>194</v>
      </c>
      <c r="N61" s="131">
        <f t="shared" si="1"/>
        <v>1827</v>
      </c>
      <c r="O61" s="116"/>
      <c r="P61" s="116"/>
      <c r="Q61" s="116"/>
    </row>
    <row r="62" spans="1:17" x14ac:dyDescent="0.25">
      <c r="A62" s="127" t="s">
        <v>446</v>
      </c>
      <c r="B62" s="128">
        <v>23</v>
      </c>
      <c r="C62" s="129">
        <v>29</v>
      </c>
      <c r="D62" s="129">
        <v>53</v>
      </c>
      <c r="E62" s="129">
        <v>115</v>
      </c>
      <c r="F62" s="129">
        <v>220</v>
      </c>
      <c r="G62" s="129">
        <v>280</v>
      </c>
      <c r="H62" s="129">
        <v>278</v>
      </c>
      <c r="I62" s="129">
        <v>298</v>
      </c>
      <c r="J62" s="129">
        <v>179</v>
      </c>
      <c r="K62" s="129">
        <v>132</v>
      </c>
      <c r="L62" s="129">
        <v>49</v>
      </c>
      <c r="M62" s="130">
        <v>18</v>
      </c>
      <c r="N62" s="131">
        <f t="shared" si="1"/>
        <v>1674</v>
      </c>
      <c r="O62" s="116"/>
      <c r="P62" s="116"/>
      <c r="Q62" s="116"/>
    </row>
    <row r="63" spans="1:17" x14ac:dyDescent="0.25">
      <c r="A63" s="127" t="s">
        <v>447</v>
      </c>
      <c r="B63" s="128">
        <v>21</v>
      </c>
      <c r="C63" s="129">
        <v>24</v>
      </c>
      <c r="D63" s="129">
        <v>44</v>
      </c>
      <c r="E63" s="129">
        <v>96</v>
      </c>
      <c r="F63" s="129">
        <v>193</v>
      </c>
      <c r="G63" s="129">
        <v>272</v>
      </c>
      <c r="H63" s="129">
        <v>292</v>
      </c>
      <c r="I63" s="129">
        <v>362</v>
      </c>
      <c r="J63" s="129">
        <v>233</v>
      </c>
      <c r="K63" s="129">
        <v>115</v>
      </c>
      <c r="L63" s="129">
        <v>27</v>
      </c>
      <c r="M63" s="130">
        <v>17</v>
      </c>
      <c r="N63" s="131">
        <f t="shared" si="1"/>
        <v>1696</v>
      </c>
      <c r="O63" s="116"/>
      <c r="P63" s="116"/>
      <c r="Q63" s="116"/>
    </row>
    <row r="64" spans="1:17" x14ac:dyDescent="0.25">
      <c r="A64" s="127" t="s">
        <v>448</v>
      </c>
      <c r="B64" s="128">
        <v>26</v>
      </c>
      <c r="C64" s="129">
        <v>30</v>
      </c>
      <c r="D64" s="129">
        <v>44</v>
      </c>
      <c r="E64" s="129">
        <v>102</v>
      </c>
      <c r="F64" s="129">
        <v>185</v>
      </c>
      <c r="G64" s="129">
        <v>269</v>
      </c>
      <c r="H64" s="129">
        <v>267</v>
      </c>
      <c r="I64" s="129">
        <v>277</v>
      </c>
      <c r="J64" s="129">
        <v>188</v>
      </c>
      <c r="K64" s="129">
        <v>148</v>
      </c>
      <c r="L64" s="129">
        <v>55</v>
      </c>
      <c r="M64" s="130">
        <v>19</v>
      </c>
      <c r="N64" s="131">
        <f t="shared" si="1"/>
        <v>1610</v>
      </c>
      <c r="O64" s="116"/>
      <c r="P64" s="116"/>
      <c r="Q64" s="116"/>
    </row>
    <row r="65" spans="1:17" x14ac:dyDescent="0.25">
      <c r="A65" s="127" t="s">
        <v>449</v>
      </c>
      <c r="B65" s="128">
        <v>52</v>
      </c>
      <c r="C65" s="129">
        <v>42</v>
      </c>
      <c r="D65" s="129">
        <v>45</v>
      </c>
      <c r="E65" s="129">
        <v>64</v>
      </c>
      <c r="F65" s="129">
        <v>132</v>
      </c>
      <c r="G65" s="129">
        <v>117</v>
      </c>
      <c r="H65" s="129">
        <v>118</v>
      </c>
      <c r="I65" s="129">
        <v>223</v>
      </c>
      <c r="J65" s="129">
        <v>517</v>
      </c>
      <c r="K65" s="129">
        <v>542</v>
      </c>
      <c r="L65" s="129">
        <v>187</v>
      </c>
      <c r="M65" s="130">
        <v>74</v>
      </c>
      <c r="N65" s="131">
        <f t="shared" si="1"/>
        <v>2113</v>
      </c>
      <c r="O65" s="116"/>
      <c r="P65" s="116"/>
      <c r="Q65" s="116"/>
    </row>
    <row r="66" spans="1:17" x14ac:dyDescent="0.25">
      <c r="A66" s="127" t="s">
        <v>450</v>
      </c>
      <c r="B66" s="128">
        <v>21</v>
      </c>
      <c r="C66" s="129">
        <v>24</v>
      </c>
      <c r="D66" s="129">
        <v>39</v>
      </c>
      <c r="E66" s="129">
        <v>101</v>
      </c>
      <c r="F66" s="129">
        <v>177</v>
      </c>
      <c r="G66" s="129">
        <v>252</v>
      </c>
      <c r="H66" s="129">
        <v>252</v>
      </c>
      <c r="I66" s="129">
        <v>298</v>
      </c>
      <c r="J66" s="129">
        <v>185</v>
      </c>
      <c r="K66" s="129">
        <v>135</v>
      </c>
      <c r="L66" s="129">
        <v>54</v>
      </c>
      <c r="M66" s="130">
        <v>17</v>
      </c>
      <c r="N66" s="131">
        <f t="shared" si="1"/>
        <v>1555</v>
      </c>
      <c r="O66" s="116"/>
      <c r="P66" s="116"/>
      <c r="Q66" s="116"/>
    </row>
    <row r="67" spans="1:17" x14ac:dyDescent="0.25">
      <c r="A67" s="127" t="s">
        <v>451</v>
      </c>
      <c r="B67" s="128">
        <v>2</v>
      </c>
      <c r="C67" s="129">
        <v>0</v>
      </c>
      <c r="D67" s="129">
        <v>5</v>
      </c>
      <c r="E67" s="129">
        <v>28</v>
      </c>
      <c r="F67" s="129">
        <v>191</v>
      </c>
      <c r="G67" s="129">
        <v>216</v>
      </c>
      <c r="H67" s="129">
        <v>234</v>
      </c>
      <c r="I67" s="129">
        <v>212</v>
      </c>
      <c r="J67" s="129">
        <v>233</v>
      </c>
      <c r="K67" s="129">
        <v>236</v>
      </c>
      <c r="L67" s="129">
        <v>66</v>
      </c>
      <c r="M67" s="130">
        <v>14</v>
      </c>
      <c r="N67" s="131">
        <f t="shared" si="1"/>
        <v>1437</v>
      </c>
      <c r="O67" s="116"/>
      <c r="P67" s="116"/>
      <c r="Q67" s="116"/>
    </row>
    <row r="68" spans="1:17" ht="15.75" thickBot="1" x14ac:dyDescent="0.3">
      <c r="A68" s="132" t="s">
        <v>452</v>
      </c>
      <c r="B68" s="133">
        <v>33</v>
      </c>
      <c r="C68" s="134">
        <v>45</v>
      </c>
      <c r="D68" s="134">
        <v>75</v>
      </c>
      <c r="E68" s="134">
        <v>131</v>
      </c>
      <c r="F68" s="134">
        <v>219</v>
      </c>
      <c r="G68" s="134">
        <v>291</v>
      </c>
      <c r="H68" s="134">
        <v>310</v>
      </c>
      <c r="I68" s="134">
        <v>364</v>
      </c>
      <c r="J68" s="134">
        <v>283</v>
      </c>
      <c r="K68" s="134">
        <v>180</v>
      </c>
      <c r="L68" s="134">
        <v>66</v>
      </c>
      <c r="M68" s="135">
        <v>27</v>
      </c>
      <c r="N68" s="136">
        <f t="shared" si="1"/>
        <v>2024</v>
      </c>
      <c r="O68" s="116"/>
      <c r="P68" s="116"/>
      <c r="Q68" s="116"/>
    </row>
    <row r="69" spans="1:17" x14ac:dyDescent="0.25">
      <c r="A69" s="116"/>
      <c r="B69" s="116"/>
      <c r="C69" s="116"/>
      <c r="D69" s="116"/>
      <c r="E69" s="116"/>
      <c r="F69" s="116"/>
      <c r="G69" s="116"/>
      <c r="H69" s="116"/>
      <c r="I69" s="116"/>
      <c r="J69" s="116"/>
      <c r="K69" s="116"/>
      <c r="L69" s="116"/>
      <c r="M69" s="116"/>
      <c r="N69" s="116"/>
      <c r="O69" s="116"/>
      <c r="P69" s="116"/>
      <c r="Q69" s="116"/>
    </row>
    <row r="70" spans="1:17" ht="15.75" thickBot="1" x14ac:dyDescent="0.3">
      <c r="A70" s="116"/>
      <c r="B70" s="116"/>
      <c r="C70" s="116"/>
      <c r="D70" s="116"/>
      <c r="E70" s="116"/>
      <c r="F70" s="116"/>
      <c r="G70" s="116"/>
      <c r="H70" s="116"/>
      <c r="I70" s="116"/>
      <c r="J70" s="116"/>
      <c r="K70" s="116"/>
      <c r="L70" s="116"/>
      <c r="M70" s="116"/>
      <c r="N70" s="116"/>
      <c r="O70" s="116"/>
      <c r="P70" s="116"/>
      <c r="Q70" s="116"/>
    </row>
    <row r="71" spans="1:17" ht="18.75" thickBot="1" x14ac:dyDescent="0.3">
      <c r="A71" s="2453" t="s">
        <v>453</v>
      </c>
      <c r="B71" s="2454"/>
      <c r="C71" s="2454"/>
      <c r="D71" s="2454"/>
      <c r="E71" s="2454"/>
      <c r="F71" s="2454"/>
      <c r="G71" s="113"/>
      <c r="H71" s="113"/>
      <c r="I71" s="113"/>
      <c r="J71" s="113"/>
      <c r="K71" s="113"/>
      <c r="L71" s="113"/>
      <c r="M71" s="113"/>
      <c r="N71" s="113"/>
      <c r="O71" s="113"/>
      <c r="P71" s="113"/>
      <c r="Q71" s="137"/>
    </row>
    <row r="72" spans="1:17" x14ac:dyDescent="0.25">
      <c r="A72" s="115" t="s">
        <v>376</v>
      </c>
      <c r="B72" s="116"/>
      <c r="C72" s="116"/>
      <c r="D72" s="116"/>
      <c r="E72" s="116"/>
      <c r="F72" s="116"/>
      <c r="G72" s="116"/>
      <c r="H72" s="116"/>
      <c r="I72" s="116"/>
      <c r="J72" s="116"/>
      <c r="K72" s="116"/>
      <c r="L72" s="116"/>
      <c r="M72" s="116"/>
      <c r="N72" s="116"/>
      <c r="O72" s="116"/>
      <c r="P72" s="116"/>
      <c r="Q72" s="116"/>
    </row>
    <row r="73" spans="1:17" ht="15.75" thickBot="1" x14ac:dyDescent="0.3">
      <c r="A73" s="115"/>
      <c r="B73" s="116"/>
      <c r="C73" s="116"/>
      <c r="D73" s="116"/>
      <c r="E73" s="116"/>
      <c r="F73" s="116"/>
      <c r="G73" s="116"/>
      <c r="H73" s="116"/>
      <c r="I73" s="116"/>
      <c r="J73" s="116"/>
      <c r="K73" s="116"/>
      <c r="L73" s="116"/>
      <c r="M73" s="116"/>
      <c r="N73" s="116"/>
      <c r="O73" s="116"/>
      <c r="P73" s="116"/>
      <c r="Q73" s="116"/>
    </row>
    <row r="74" spans="1:17" ht="15.75" thickBot="1" x14ac:dyDescent="0.3">
      <c r="A74" s="117"/>
      <c r="B74" s="118" t="s">
        <v>377</v>
      </c>
      <c r="C74" s="119" t="s">
        <v>378</v>
      </c>
      <c r="D74" s="119" t="s">
        <v>379</v>
      </c>
      <c r="E74" s="119" t="s">
        <v>380</v>
      </c>
      <c r="F74" s="119" t="s">
        <v>381</v>
      </c>
      <c r="G74" s="119" t="s">
        <v>382</v>
      </c>
      <c r="H74" s="119" t="s">
        <v>383</v>
      </c>
      <c r="I74" s="119" t="s">
        <v>384</v>
      </c>
      <c r="J74" s="119" t="s">
        <v>385</v>
      </c>
      <c r="K74" s="119" t="s">
        <v>386</v>
      </c>
      <c r="L74" s="119" t="s">
        <v>387</v>
      </c>
      <c r="M74" s="120" t="s">
        <v>388</v>
      </c>
      <c r="N74" s="121" t="s">
        <v>389</v>
      </c>
      <c r="O74" s="116"/>
      <c r="P74" s="116"/>
      <c r="Q74" s="116"/>
    </row>
    <row r="75" spans="1:17" x14ac:dyDescent="0.25">
      <c r="A75" s="122" t="s">
        <v>390</v>
      </c>
      <c r="B75" s="138">
        <v>11.1</v>
      </c>
      <c r="C75" s="139">
        <v>12.2</v>
      </c>
      <c r="D75" s="139">
        <v>15.7</v>
      </c>
      <c r="E75" s="139">
        <v>14.9</v>
      </c>
      <c r="F75" s="139">
        <v>16.7</v>
      </c>
      <c r="G75" s="139">
        <v>16.7</v>
      </c>
      <c r="H75" s="139">
        <v>17.600000000000001</v>
      </c>
      <c r="I75" s="139">
        <v>17.2</v>
      </c>
      <c r="J75" s="139">
        <v>13.1</v>
      </c>
      <c r="K75" s="139">
        <v>11.1</v>
      </c>
      <c r="L75" s="139">
        <v>7.4</v>
      </c>
      <c r="M75" s="140">
        <v>5.3</v>
      </c>
      <c r="N75" s="126">
        <f t="shared" ref="N75:N138" si="2">SUM(B75:M75)</f>
        <v>159.00000000000003</v>
      </c>
      <c r="O75" s="116"/>
      <c r="P75" s="116"/>
      <c r="Q75" s="116"/>
    </row>
    <row r="76" spans="1:17" x14ac:dyDescent="0.25">
      <c r="A76" s="127" t="s">
        <v>391</v>
      </c>
      <c r="B76" s="141">
        <v>8.3000000000000007</v>
      </c>
      <c r="C76" s="142">
        <v>10.6</v>
      </c>
      <c r="D76" s="142">
        <v>14.9</v>
      </c>
      <c r="E76" s="142">
        <v>14</v>
      </c>
      <c r="F76" s="142">
        <v>13.8</v>
      </c>
      <c r="G76" s="142">
        <v>15.4</v>
      </c>
      <c r="H76" s="142">
        <v>14.9</v>
      </c>
      <c r="I76" s="142">
        <v>16.600000000000001</v>
      </c>
      <c r="J76" s="142">
        <v>11.9</v>
      </c>
      <c r="K76" s="142">
        <v>10.1</v>
      </c>
      <c r="L76" s="142">
        <v>6.5</v>
      </c>
      <c r="M76" s="143">
        <v>4.3</v>
      </c>
      <c r="N76" s="131">
        <f t="shared" si="2"/>
        <v>141.30000000000001</v>
      </c>
      <c r="O76" s="116"/>
      <c r="P76" s="116"/>
      <c r="Q76" s="116"/>
    </row>
    <row r="77" spans="1:17" x14ac:dyDescent="0.25">
      <c r="A77" s="127" t="s">
        <v>392</v>
      </c>
      <c r="B77" s="141">
        <v>9.1999999999999993</v>
      </c>
      <c r="C77" s="142">
        <v>9.8000000000000007</v>
      </c>
      <c r="D77" s="142">
        <v>13.2</v>
      </c>
      <c r="E77" s="142">
        <v>14.2</v>
      </c>
      <c r="F77" s="142">
        <v>15.5</v>
      </c>
      <c r="G77" s="142">
        <v>17.399999999999999</v>
      </c>
      <c r="H77" s="142">
        <v>19.100000000000001</v>
      </c>
      <c r="I77" s="142">
        <v>18.899999999999999</v>
      </c>
      <c r="J77" s="142">
        <v>13</v>
      </c>
      <c r="K77" s="142">
        <v>10.1</v>
      </c>
      <c r="L77" s="142">
        <v>7.3</v>
      </c>
      <c r="M77" s="143">
        <v>5.9</v>
      </c>
      <c r="N77" s="131">
        <f t="shared" si="2"/>
        <v>153.60000000000002</v>
      </c>
      <c r="O77" s="116"/>
      <c r="P77" s="116"/>
      <c r="Q77" s="116"/>
    </row>
    <row r="78" spans="1:17" x14ac:dyDescent="0.25">
      <c r="A78" s="127" t="s">
        <v>393</v>
      </c>
      <c r="B78" s="141">
        <v>1.1000000000000001</v>
      </c>
      <c r="C78" s="142">
        <v>1</v>
      </c>
      <c r="D78" s="142">
        <v>3.2</v>
      </c>
      <c r="E78" s="142">
        <v>8.3000000000000007</v>
      </c>
      <c r="F78" s="142">
        <v>19.5</v>
      </c>
      <c r="G78" s="142">
        <v>22.4</v>
      </c>
      <c r="H78" s="142">
        <v>24.6</v>
      </c>
      <c r="I78" s="142">
        <v>25.3</v>
      </c>
      <c r="J78" s="142">
        <v>24.2</v>
      </c>
      <c r="K78" s="142">
        <v>17.7</v>
      </c>
      <c r="L78" s="142">
        <v>11</v>
      </c>
      <c r="M78" s="143">
        <v>5.6</v>
      </c>
      <c r="N78" s="131">
        <f t="shared" si="2"/>
        <v>163.89999999999998</v>
      </c>
      <c r="O78" s="116"/>
      <c r="P78" s="116"/>
      <c r="Q78" s="116"/>
    </row>
    <row r="79" spans="1:17" x14ac:dyDescent="0.25">
      <c r="A79" s="127" t="s">
        <v>394</v>
      </c>
      <c r="B79" s="141">
        <v>3.5</v>
      </c>
      <c r="C79" s="142">
        <v>1.6</v>
      </c>
      <c r="D79" s="142">
        <v>3.3</v>
      </c>
      <c r="E79" s="142">
        <v>8.3000000000000007</v>
      </c>
      <c r="F79" s="142">
        <v>17.8</v>
      </c>
      <c r="G79" s="142">
        <v>21.7</v>
      </c>
      <c r="H79" s="142">
        <v>22.2</v>
      </c>
      <c r="I79" s="142">
        <v>22.6</v>
      </c>
      <c r="J79" s="142">
        <v>22.8</v>
      </c>
      <c r="K79" s="142">
        <v>23.1</v>
      </c>
      <c r="L79" s="142">
        <v>16</v>
      </c>
      <c r="M79" s="143">
        <v>9</v>
      </c>
      <c r="N79" s="131">
        <f t="shared" si="2"/>
        <v>171.9</v>
      </c>
      <c r="O79" s="116"/>
      <c r="P79" s="116"/>
      <c r="Q79" s="116"/>
    </row>
    <row r="80" spans="1:17" x14ac:dyDescent="0.25">
      <c r="A80" s="127" t="s">
        <v>395</v>
      </c>
      <c r="B80" s="141">
        <v>4.7</v>
      </c>
      <c r="C80" s="142">
        <v>2.5</v>
      </c>
      <c r="D80" s="142">
        <v>1.9</v>
      </c>
      <c r="E80" s="142">
        <v>3.4</v>
      </c>
      <c r="F80" s="142">
        <v>8.1999999999999993</v>
      </c>
      <c r="G80" s="142">
        <v>8</v>
      </c>
      <c r="H80" s="142">
        <v>7.7</v>
      </c>
      <c r="I80" s="142">
        <v>8.6999999999999993</v>
      </c>
      <c r="J80" s="142">
        <v>13.7</v>
      </c>
      <c r="K80" s="142">
        <v>15.4</v>
      </c>
      <c r="L80" s="142">
        <v>14.2</v>
      </c>
      <c r="M80" s="143">
        <v>10.8</v>
      </c>
      <c r="N80" s="131">
        <f t="shared" si="2"/>
        <v>99.2</v>
      </c>
      <c r="O80" s="116"/>
      <c r="P80" s="116"/>
      <c r="Q80" s="116"/>
    </row>
    <row r="81" spans="1:17" x14ac:dyDescent="0.25">
      <c r="A81" s="127" t="s">
        <v>396</v>
      </c>
      <c r="B81" s="141">
        <v>1.8</v>
      </c>
      <c r="C81" s="142">
        <v>0.7</v>
      </c>
      <c r="D81" s="142">
        <v>1.7</v>
      </c>
      <c r="E81" s="142">
        <v>5.6</v>
      </c>
      <c r="F81" s="142">
        <v>16.100000000000001</v>
      </c>
      <c r="G81" s="142">
        <v>20.5</v>
      </c>
      <c r="H81" s="142">
        <v>21.7</v>
      </c>
      <c r="I81" s="142">
        <v>22.3</v>
      </c>
      <c r="J81" s="142">
        <v>22.9</v>
      </c>
      <c r="K81" s="142">
        <v>22.2</v>
      </c>
      <c r="L81" s="142">
        <v>14.2</v>
      </c>
      <c r="M81" s="143">
        <v>6.3</v>
      </c>
      <c r="N81" s="131">
        <f t="shared" si="2"/>
        <v>156</v>
      </c>
      <c r="O81" s="116"/>
      <c r="P81" s="116"/>
      <c r="Q81" s="116"/>
    </row>
    <row r="82" spans="1:17" x14ac:dyDescent="0.25">
      <c r="A82" s="127" t="s">
        <v>397</v>
      </c>
      <c r="B82" s="141">
        <v>0.9</v>
      </c>
      <c r="C82" s="142">
        <v>0.5</v>
      </c>
      <c r="D82" s="142">
        <v>1.1000000000000001</v>
      </c>
      <c r="E82" s="142">
        <v>5</v>
      </c>
      <c r="F82" s="142">
        <v>17</v>
      </c>
      <c r="G82" s="142">
        <v>18.899999999999999</v>
      </c>
      <c r="H82" s="142">
        <v>21.4</v>
      </c>
      <c r="I82" s="142">
        <v>20.9</v>
      </c>
      <c r="J82" s="142">
        <v>22.2</v>
      </c>
      <c r="K82" s="142">
        <v>19.7</v>
      </c>
      <c r="L82" s="142">
        <v>10.9</v>
      </c>
      <c r="M82" s="143">
        <v>4.5</v>
      </c>
      <c r="N82" s="131">
        <f t="shared" si="2"/>
        <v>143</v>
      </c>
      <c r="O82" s="116"/>
      <c r="P82" s="116"/>
      <c r="Q82" s="116"/>
    </row>
    <row r="83" spans="1:17" x14ac:dyDescent="0.25">
      <c r="A83" s="127" t="s">
        <v>398</v>
      </c>
      <c r="B83" s="141">
        <v>8.6</v>
      </c>
      <c r="C83" s="142">
        <v>9.1999999999999993</v>
      </c>
      <c r="D83" s="142">
        <v>10</v>
      </c>
      <c r="E83" s="142">
        <v>11.5</v>
      </c>
      <c r="F83" s="142">
        <v>14.8</v>
      </c>
      <c r="G83" s="142">
        <v>16.899999999999999</v>
      </c>
      <c r="H83" s="142">
        <v>18.899999999999999</v>
      </c>
      <c r="I83" s="142">
        <v>18.2</v>
      </c>
      <c r="J83" s="142">
        <v>12.4</v>
      </c>
      <c r="K83" s="142">
        <v>10.3</v>
      </c>
      <c r="L83" s="142">
        <v>7.2</v>
      </c>
      <c r="M83" s="143">
        <v>5.6</v>
      </c>
      <c r="N83" s="131">
        <f t="shared" si="2"/>
        <v>143.6</v>
      </c>
      <c r="O83" s="116"/>
      <c r="P83" s="116"/>
      <c r="Q83" s="116"/>
    </row>
    <row r="84" spans="1:17" x14ac:dyDescent="0.25">
      <c r="A84" s="127" t="s">
        <v>399</v>
      </c>
      <c r="B84" s="141">
        <v>1.6</v>
      </c>
      <c r="C84" s="142">
        <v>0.7</v>
      </c>
      <c r="D84" s="142">
        <v>1.4</v>
      </c>
      <c r="E84" s="142">
        <v>4.5</v>
      </c>
      <c r="F84" s="142">
        <v>13.6</v>
      </c>
      <c r="G84" s="142">
        <v>16.2</v>
      </c>
      <c r="H84" s="142">
        <v>17.399999999999999</v>
      </c>
      <c r="I84" s="142">
        <v>17</v>
      </c>
      <c r="J84" s="142">
        <v>19.100000000000001</v>
      </c>
      <c r="K84" s="142">
        <v>20.2</v>
      </c>
      <c r="L84" s="142">
        <v>12.1</v>
      </c>
      <c r="M84" s="143">
        <v>5.0999999999999996</v>
      </c>
      <c r="N84" s="131">
        <f t="shared" si="2"/>
        <v>128.9</v>
      </c>
      <c r="O84" s="116"/>
      <c r="P84" s="116"/>
      <c r="Q84" s="116"/>
    </row>
    <row r="85" spans="1:17" x14ac:dyDescent="0.25">
      <c r="A85" s="127" t="s">
        <v>400</v>
      </c>
      <c r="B85" s="141">
        <v>1.9</v>
      </c>
      <c r="C85" s="142">
        <v>1</v>
      </c>
      <c r="D85" s="142">
        <v>2.6</v>
      </c>
      <c r="E85" s="142">
        <v>8.5</v>
      </c>
      <c r="F85" s="142">
        <v>16</v>
      </c>
      <c r="G85" s="142">
        <v>17.8</v>
      </c>
      <c r="H85" s="142">
        <v>18.8</v>
      </c>
      <c r="I85" s="142">
        <v>18.7</v>
      </c>
      <c r="J85" s="142">
        <v>19.7</v>
      </c>
      <c r="K85" s="142">
        <v>20.5</v>
      </c>
      <c r="L85" s="142">
        <v>13.5</v>
      </c>
      <c r="M85" s="143">
        <v>4.7</v>
      </c>
      <c r="N85" s="131">
        <f t="shared" si="2"/>
        <v>143.69999999999999</v>
      </c>
      <c r="O85" s="116"/>
      <c r="P85" s="116"/>
      <c r="Q85" s="116"/>
    </row>
    <row r="86" spans="1:17" x14ac:dyDescent="0.25">
      <c r="A86" s="127" t="s">
        <v>401</v>
      </c>
      <c r="B86" s="141">
        <v>1.1000000000000001</v>
      </c>
      <c r="C86" s="142">
        <v>0.4</v>
      </c>
      <c r="D86" s="142">
        <v>1.2</v>
      </c>
      <c r="E86" s="142">
        <v>4.8</v>
      </c>
      <c r="F86" s="142">
        <v>13.2</v>
      </c>
      <c r="G86" s="142">
        <v>19</v>
      </c>
      <c r="H86" s="142">
        <v>17.899999999999999</v>
      </c>
      <c r="I86" s="142">
        <v>19.100000000000001</v>
      </c>
      <c r="J86" s="142">
        <v>19.100000000000001</v>
      </c>
      <c r="K86" s="142">
        <v>19.3</v>
      </c>
      <c r="L86" s="142">
        <v>11.2</v>
      </c>
      <c r="M86" s="143">
        <v>4.3</v>
      </c>
      <c r="N86" s="131">
        <f t="shared" si="2"/>
        <v>130.60000000000002</v>
      </c>
      <c r="O86" s="116"/>
      <c r="P86" s="116"/>
      <c r="Q86" s="116"/>
    </row>
    <row r="87" spans="1:17" x14ac:dyDescent="0.25">
      <c r="A87" s="127" t="s">
        <v>402</v>
      </c>
      <c r="B87" s="141">
        <v>7.4</v>
      </c>
      <c r="C87" s="142">
        <v>11.5</v>
      </c>
      <c r="D87" s="142">
        <v>14.1</v>
      </c>
      <c r="E87" s="142">
        <v>11.6</v>
      </c>
      <c r="F87" s="142">
        <v>11.4</v>
      </c>
      <c r="G87" s="142">
        <v>14.8</v>
      </c>
      <c r="H87" s="142">
        <v>15.7</v>
      </c>
      <c r="I87" s="142">
        <v>18.2</v>
      </c>
      <c r="J87" s="142">
        <v>13.2</v>
      </c>
      <c r="K87" s="142">
        <v>9.1999999999999993</v>
      </c>
      <c r="L87" s="142">
        <v>5.7</v>
      </c>
      <c r="M87" s="143">
        <v>5.3</v>
      </c>
      <c r="N87" s="131">
        <f t="shared" si="2"/>
        <v>138.10000000000002</v>
      </c>
      <c r="O87" s="116"/>
      <c r="P87" s="116"/>
      <c r="Q87" s="116"/>
    </row>
    <row r="88" spans="1:17" x14ac:dyDescent="0.25">
      <c r="A88" s="127" t="s">
        <v>403</v>
      </c>
      <c r="B88" s="141">
        <v>1.9</v>
      </c>
      <c r="C88" s="142">
        <v>2.7</v>
      </c>
      <c r="D88" s="142">
        <v>5</v>
      </c>
      <c r="E88" s="142">
        <v>12.3</v>
      </c>
      <c r="F88" s="142">
        <v>19.100000000000001</v>
      </c>
      <c r="G88" s="142">
        <v>20.9</v>
      </c>
      <c r="H88" s="142">
        <v>23.3</v>
      </c>
      <c r="I88" s="142">
        <v>22.5</v>
      </c>
      <c r="J88" s="142">
        <v>23.7</v>
      </c>
      <c r="K88" s="142">
        <v>19.8</v>
      </c>
      <c r="L88" s="142">
        <v>10.4</v>
      </c>
      <c r="M88" s="143">
        <v>5.6</v>
      </c>
      <c r="N88" s="131">
        <f t="shared" si="2"/>
        <v>167.20000000000002</v>
      </c>
      <c r="O88" s="116"/>
      <c r="P88" s="116"/>
      <c r="Q88" s="116"/>
    </row>
    <row r="89" spans="1:17" x14ac:dyDescent="0.25">
      <c r="A89" s="127" t="s">
        <v>404</v>
      </c>
      <c r="B89" s="141">
        <v>11.6</v>
      </c>
      <c r="C89" s="142">
        <v>6.3</v>
      </c>
      <c r="D89" s="142">
        <v>4.0999999999999996</v>
      </c>
      <c r="E89" s="142">
        <v>5.4</v>
      </c>
      <c r="F89" s="142">
        <v>9.8000000000000007</v>
      </c>
      <c r="G89" s="142">
        <v>8.6999999999999993</v>
      </c>
      <c r="H89" s="142">
        <v>9.1999999999999993</v>
      </c>
      <c r="I89" s="142">
        <v>11</v>
      </c>
      <c r="J89" s="142">
        <v>14.4</v>
      </c>
      <c r="K89" s="142">
        <v>20.100000000000001</v>
      </c>
      <c r="L89" s="142">
        <v>20.5</v>
      </c>
      <c r="M89" s="143">
        <v>18.3</v>
      </c>
      <c r="N89" s="131">
        <f t="shared" si="2"/>
        <v>139.40000000000003</v>
      </c>
      <c r="O89" s="116"/>
      <c r="P89" s="116"/>
      <c r="Q89" s="116"/>
    </row>
    <row r="90" spans="1:17" x14ac:dyDescent="0.25">
      <c r="A90" s="127" t="s">
        <v>405</v>
      </c>
      <c r="B90" s="141">
        <v>4.8</v>
      </c>
      <c r="C90" s="142">
        <v>4</v>
      </c>
      <c r="D90" s="142">
        <v>5.8</v>
      </c>
      <c r="E90" s="142">
        <v>12.4</v>
      </c>
      <c r="F90" s="142">
        <v>17.100000000000001</v>
      </c>
      <c r="G90" s="142">
        <v>20.3</v>
      </c>
      <c r="H90" s="142">
        <v>22.4</v>
      </c>
      <c r="I90" s="142">
        <v>21.3</v>
      </c>
      <c r="J90" s="142">
        <v>13.4</v>
      </c>
      <c r="K90" s="142">
        <v>8.6999999999999993</v>
      </c>
      <c r="L90" s="142">
        <v>5.5</v>
      </c>
      <c r="M90" s="143">
        <v>3.7</v>
      </c>
      <c r="N90" s="131">
        <f t="shared" si="2"/>
        <v>139.4</v>
      </c>
      <c r="O90" s="116"/>
      <c r="P90" s="116"/>
      <c r="Q90" s="116"/>
    </row>
    <row r="91" spans="1:17" x14ac:dyDescent="0.25">
      <c r="A91" s="127" t="s">
        <v>406</v>
      </c>
      <c r="B91" s="141">
        <v>12.2</v>
      </c>
      <c r="C91" s="142">
        <v>11.5</v>
      </c>
      <c r="D91" s="142">
        <v>9.9</v>
      </c>
      <c r="E91" s="142">
        <v>9.8000000000000007</v>
      </c>
      <c r="F91" s="142">
        <v>10.3</v>
      </c>
      <c r="G91" s="142">
        <v>8.9</v>
      </c>
      <c r="H91" s="142">
        <v>7.2</v>
      </c>
      <c r="I91" s="142">
        <v>10.7</v>
      </c>
      <c r="J91" s="142">
        <v>16.5</v>
      </c>
      <c r="K91" s="142">
        <v>20.5</v>
      </c>
      <c r="L91" s="142">
        <v>20.3</v>
      </c>
      <c r="M91" s="143">
        <v>16.899999999999999</v>
      </c>
      <c r="N91" s="131">
        <f t="shared" si="2"/>
        <v>154.70000000000002</v>
      </c>
      <c r="O91" s="116"/>
      <c r="P91" s="116"/>
      <c r="Q91" s="116"/>
    </row>
    <row r="92" spans="1:17" x14ac:dyDescent="0.25">
      <c r="A92" s="127" t="s">
        <v>407</v>
      </c>
      <c r="B92" s="141">
        <v>11.4</v>
      </c>
      <c r="C92" s="142">
        <v>11.6</v>
      </c>
      <c r="D92" s="142">
        <v>11.1</v>
      </c>
      <c r="E92" s="142">
        <v>9.5</v>
      </c>
      <c r="F92" s="142">
        <v>10.3</v>
      </c>
      <c r="G92" s="142">
        <v>7.7</v>
      </c>
      <c r="H92" s="142">
        <v>6.8</v>
      </c>
      <c r="I92" s="142">
        <v>10.8</v>
      </c>
      <c r="J92" s="142">
        <v>15.9</v>
      </c>
      <c r="K92" s="142">
        <v>19.5</v>
      </c>
      <c r="L92" s="142">
        <v>17.8</v>
      </c>
      <c r="M92" s="143">
        <v>14</v>
      </c>
      <c r="N92" s="131">
        <f t="shared" si="2"/>
        <v>146.4</v>
      </c>
      <c r="O92" s="116"/>
      <c r="P92" s="116"/>
      <c r="Q92" s="116"/>
    </row>
    <row r="93" spans="1:17" x14ac:dyDescent="0.25">
      <c r="A93" s="127" t="s">
        <v>408</v>
      </c>
      <c r="B93" s="141">
        <v>9.8000000000000007</v>
      </c>
      <c r="C93" s="142">
        <v>12.2</v>
      </c>
      <c r="D93" s="142">
        <v>15.1</v>
      </c>
      <c r="E93" s="142">
        <v>14.1</v>
      </c>
      <c r="F93" s="142">
        <v>14.4</v>
      </c>
      <c r="G93" s="142">
        <v>14.2</v>
      </c>
      <c r="H93" s="142">
        <v>14.9</v>
      </c>
      <c r="I93" s="142">
        <v>15.7</v>
      </c>
      <c r="J93" s="142">
        <v>13.6</v>
      </c>
      <c r="K93" s="142">
        <v>11.3</v>
      </c>
      <c r="L93" s="142">
        <v>8.4</v>
      </c>
      <c r="M93" s="143">
        <v>6.2</v>
      </c>
      <c r="N93" s="131">
        <f t="shared" si="2"/>
        <v>149.9</v>
      </c>
      <c r="O93" s="116"/>
      <c r="P93" s="116"/>
      <c r="Q93" s="116"/>
    </row>
    <row r="94" spans="1:17" x14ac:dyDescent="0.25">
      <c r="A94" s="127" t="s">
        <v>409</v>
      </c>
      <c r="B94" s="141">
        <v>12.1</v>
      </c>
      <c r="C94" s="142">
        <v>10.6</v>
      </c>
      <c r="D94" s="142">
        <v>12.3</v>
      </c>
      <c r="E94" s="142">
        <v>15.4</v>
      </c>
      <c r="F94" s="142">
        <v>18.399999999999999</v>
      </c>
      <c r="G94" s="142">
        <v>21</v>
      </c>
      <c r="H94" s="142">
        <v>24.2</v>
      </c>
      <c r="I94" s="142">
        <v>21.7</v>
      </c>
      <c r="J94" s="142">
        <v>15.9</v>
      </c>
      <c r="K94" s="142">
        <v>14.1</v>
      </c>
      <c r="L94" s="142">
        <v>10</v>
      </c>
      <c r="M94" s="143">
        <v>8.4</v>
      </c>
      <c r="N94" s="131">
        <f t="shared" si="2"/>
        <v>184.1</v>
      </c>
      <c r="O94" s="116"/>
      <c r="P94" s="116"/>
      <c r="Q94" s="116"/>
    </row>
    <row r="95" spans="1:17" x14ac:dyDescent="0.25">
      <c r="A95" s="127" t="s">
        <v>410</v>
      </c>
      <c r="B95" s="141">
        <v>10.3</v>
      </c>
      <c r="C95" s="142">
        <v>12.4</v>
      </c>
      <c r="D95" s="142">
        <v>16</v>
      </c>
      <c r="E95" s="142">
        <v>14.4</v>
      </c>
      <c r="F95" s="142">
        <v>14.5</v>
      </c>
      <c r="G95" s="142">
        <v>14.6</v>
      </c>
      <c r="H95" s="142">
        <v>15.6</v>
      </c>
      <c r="I95" s="142">
        <v>16.899999999999999</v>
      </c>
      <c r="J95" s="142">
        <v>13.6</v>
      </c>
      <c r="K95" s="142">
        <v>10.9</v>
      </c>
      <c r="L95" s="142">
        <v>7.9</v>
      </c>
      <c r="M95" s="143">
        <v>5</v>
      </c>
      <c r="N95" s="131">
        <f t="shared" si="2"/>
        <v>152.1</v>
      </c>
      <c r="O95" s="116"/>
      <c r="P95" s="116"/>
      <c r="Q95" s="116"/>
    </row>
    <row r="96" spans="1:17" x14ac:dyDescent="0.25">
      <c r="A96" s="127" t="s">
        <v>411</v>
      </c>
      <c r="B96" s="141">
        <v>14.6</v>
      </c>
      <c r="C96" s="142">
        <v>15.8</v>
      </c>
      <c r="D96" s="142">
        <v>14.9</v>
      </c>
      <c r="E96" s="142">
        <v>11.3</v>
      </c>
      <c r="F96" s="142">
        <v>11.1</v>
      </c>
      <c r="G96" s="142">
        <v>8.9</v>
      </c>
      <c r="H96" s="142">
        <v>7.2</v>
      </c>
      <c r="I96" s="142">
        <v>11.5</v>
      </c>
      <c r="J96" s="142">
        <v>14.9</v>
      </c>
      <c r="K96" s="142">
        <v>18.399999999999999</v>
      </c>
      <c r="L96" s="142">
        <v>16.399999999999999</v>
      </c>
      <c r="M96" s="143">
        <v>13.6</v>
      </c>
      <c r="N96" s="131">
        <f t="shared" si="2"/>
        <v>158.6</v>
      </c>
      <c r="O96" s="116"/>
      <c r="P96" s="116"/>
      <c r="Q96" s="116"/>
    </row>
    <row r="97" spans="1:17" x14ac:dyDescent="0.25">
      <c r="A97" s="127" t="s">
        <v>412</v>
      </c>
      <c r="B97" s="141">
        <v>7.9</v>
      </c>
      <c r="C97" s="142">
        <v>11.7</v>
      </c>
      <c r="D97" s="142">
        <v>15.6</v>
      </c>
      <c r="E97" s="142">
        <v>13.1</v>
      </c>
      <c r="F97" s="142">
        <v>12.8</v>
      </c>
      <c r="G97" s="142">
        <v>14.5</v>
      </c>
      <c r="H97" s="142">
        <v>13.4</v>
      </c>
      <c r="I97" s="142">
        <v>16.100000000000001</v>
      </c>
      <c r="J97" s="142">
        <v>13.3</v>
      </c>
      <c r="K97" s="142">
        <v>10.3</v>
      </c>
      <c r="L97" s="142">
        <v>6.4</v>
      </c>
      <c r="M97" s="143">
        <v>4.8</v>
      </c>
      <c r="N97" s="131">
        <f t="shared" si="2"/>
        <v>139.90000000000003</v>
      </c>
      <c r="O97" s="116"/>
      <c r="P97" s="116"/>
      <c r="Q97" s="116"/>
    </row>
    <row r="98" spans="1:17" x14ac:dyDescent="0.25">
      <c r="A98" s="127" t="s">
        <v>413</v>
      </c>
      <c r="B98" s="141">
        <v>8.8000000000000007</v>
      </c>
      <c r="C98" s="142">
        <v>9.6</v>
      </c>
      <c r="D98" s="142">
        <v>11.5</v>
      </c>
      <c r="E98" s="142">
        <v>14</v>
      </c>
      <c r="F98" s="142">
        <v>18</v>
      </c>
      <c r="G98" s="142">
        <v>18.3</v>
      </c>
      <c r="H98" s="142">
        <v>18.899999999999999</v>
      </c>
      <c r="I98" s="142">
        <v>18.2</v>
      </c>
      <c r="J98" s="142">
        <v>14.2</v>
      </c>
      <c r="K98" s="142">
        <v>11.8</v>
      </c>
      <c r="L98" s="142">
        <v>7.3</v>
      </c>
      <c r="M98" s="143">
        <v>5</v>
      </c>
      <c r="N98" s="131">
        <f t="shared" si="2"/>
        <v>155.60000000000002</v>
      </c>
      <c r="O98" s="116"/>
      <c r="P98" s="116"/>
      <c r="Q98" s="116"/>
    </row>
    <row r="99" spans="1:17" x14ac:dyDescent="0.25">
      <c r="A99" s="127" t="s">
        <v>414</v>
      </c>
      <c r="B99" s="141">
        <v>7.5</v>
      </c>
      <c r="C99" s="142">
        <v>5.5</v>
      </c>
      <c r="D99" s="142">
        <v>4.8</v>
      </c>
      <c r="E99" s="142">
        <v>2.4</v>
      </c>
      <c r="F99" s="142">
        <v>6.7</v>
      </c>
      <c r="G99" s="142">
        <v>7.1</v>
      </c>
      <c r="H99" s="142">
        <v>7.8</v>
      </c>
      <c r="I99" s="142">
        <v>9</v>
      </c>
      <c r="J99" s="142">
        <v>11.4</v>
      </c>
      <c r="K99" s="142">
        <v>13.3</v>
      </c>
      <c r="L99" s="142">
        <v>14</v>
      </c>
      <c r="M99" s="143">
        <v>7.9</v>
      </c>
      <c r="N99" s="131">
        <f t="shared" si="2"/>
        <v>97.4</v>
      </c>
      <c r="O99" s="116"/>
      <c r="P99" s="116"/>
      <c r="Q99" s="116"/>
    </row>
    <row r="100" spans="1:17" x14ac:dyDescent="0.25">
      <c r="A100" s="127" t="s">
        <v>415</v>
      </c>
      <c r="B100" s="141">
        <v>7.7</v>
      </c>
      <c r="C100" s="142">
        <v>11</v>
      </c>
      <c r="D100" s="142">
        <v>13.8</v>
      </c>
      <c r="E100" s="142">
        <v>11.6</v>
      </c>
      <c r="F100" s="142">
        <v>11.4</v>
      </c>
      <c r="G100" s="142">
        <v>15.6</v>
      </c>
      <c r="H100" s="142">
        <v>15.6</v>
      </c>
      <c r="I100" s="142">
        <v>18.600000000000001</v>
      </c>
      <c r="J100" s="142">
        <v>14.1</v>
      </c>
      <c r="K100" s="142">
        <v>10.1</v>
      </c>
      <c r="L100" s="142">
        <v>5.7</v>
      </c>
      <c r="M100" s="143">
        <v>5.2</v>
      </c>
      <c r="N100" s="131">
        <f t="shared" si="2"/>
        <v>140.39999999999995</v>
      </c>
      <c r="O100" s="116"/>
      <c r="P100" s="116"/>
      <c r="Q100" s="116"/>
    </row>
    <row r="101" spans="1:17" x14ac:dyDescent="0.25">
      <c r="A101" s="127" t="s">
        <v>416</v>
      </c>
      <c r="B101" s="141">
        <v>14.4</v>
      </c>
      <c r="C101" s="142">
        <v>11.9</v>
      </c>
      <c r="D101" s="142">
        <v>10.3</v>
      </c>
      <c r="E101" s="142">
        <v>10.7</v>
      </c>
      <c r="F101" s="142">
        <v>13</v>
      </c>
      <c r="G101" s="142">
        <v>10.3</v>
      </c>
      <c r="H101" s="142">
        <v>8.1999999999999993</v>
      </c>
      <c r="I101" s="142">
        <v>11</v>
      </c>
      <c r="J101" s="142">
        <v>16.600000000000001</v>
      </c>
      <c r="K101" s="142">
        <v>20.8</v>
      </c>
      <c r="L101" s="142">
        <v>21.5</v>
      </c>
      <c r="M101" s="143">
        <v>19.7</v>
      </c>
      <c r="N101" s="131">
        <f t="shared" si="2"/>
        <v>168.39999999999998</v>
      </c>
      <c r="O101" s="116"/>
      <c r="P101" s="116"/>
      <c r="Q101" s="116"/>
    </row>
    <row r="102" spans="1:17" x14ac:dyDescent="0.25">
      <c r="A102" s="127" t="s">
        <v>417</v>
      </c>
      <c r="B102" s="141">
        <v>9.1</v>
      </c>
      <c r="C102" s="142">
        <v>12.8</v>
      </c>
      <c r="D102" s="142">
        <v>16.600000000000001</v>
      </c>
      <c r="E102" s="142">
        <v>13.8</v>
      </c>
      <c r="F102" s="142">
        <v>13.1</v>
      </c>
      <c r="G102" s="142">
        <v>14.2</v>
      </c>
      <c r="H102" s="142">
        <v>13.1</v>
      </c>
      <c r="I102" s="142">
        <v>15.5</v>
      </c>
      <c r="J102" s="142">
        <v>13.7</v>
      </c>
      <c r="K102" s="142">
        <v>11.2</v>
      </c>
      <c r="L102" s="142">
        <v>7.3</v>
      </c>
      <c r="M102" s="143">
        <v>5.5</v>
      </c>
      <c r="N102" s="131">
        <f t="shared" si="2"/>
        <v>145.9</v>
      </c>
      <c r="O102" s="116"/>
      <c r="P102" s="116"/>
      <c r="Q102" s="116"/>
    </row>
    <row r="103" spans="1:17" x14ac:dyDescent="0.25">
      <c r="A103" s="127" t="s">
        <v>418</v>
      </c>
      <c r="B103" s="141">
        <v>0.4</v>
      </c>
      <c r="C103" s="142">
        <v>1.2</v>
      </c>
      <c r="D103" s="142">
        <v>4</v>
      </c>
      <c r="E103" s="142">
        <v>9.8000000000000007</v>
      </c>
      <c r="F103" s="142">
        <v>18.5</v>
      </c>
      <c r="G103" s="142">
        <v>21.2</v>
      </c>
      <c r="H103" s="142">
        <v>23.8</v>
      </c>
      <c r="I103" s="142">
        <v>25.8</v>
      </c>
      <c r="J103" s="142">
        <v>22.7</v>
      </c>
      <c r="K103" s="142">
        <v>14.1</v>
      </c>
      <c r="L103" s="142">
        <v>6</v>
      </c>
      <c r="M103" s="143">
        <v>1.2</v>
      </c>
      <c r="N103" s="131">
        <f t="shared" si="2"/>
        <v>148.69999999999999</v>
      </c>
      <c r="O103" s="116"/>
      <c r="P103" s="116"/>
      <c r="Q103" s="116"/>
    </row>
    <row r="104" spans="1:17" x14ac:dyDescent="0.25">
      <c r="A104" s="127" t="s">
        <v>419</v>
      </c>
      <c r="B104" s="141">
        <v>5.4</v>
      </c>
      <c r="C104" s="142">
        <v>5.0999999999999996</v>
      </c>
      <c r="D104" s="142">
        <v>7.4</v>
      </c>
      <c r="E104" s="142">
        <v>13.2</v>
      </c>
      <c r="F104" s="142">
        <v>19.5</v>
      </c>
      <c r="G104" s="142">
        <v>23.8</v>
      </c>
      <c r="H104" s="142">
        <v>25.8</v>
      </c>
      <c r="I104" s="142">
        <v>22</v>
      </c>
      <c r="J104" s="142">
        <v>13</v>
      </c>
      <c r="K104" s="142">
        <v>10.1</v>
      </c>
      <c r="L104" s="142">
        <v>6.8</v>
      </c>
      <c r="M104" s="143">
        <v>5.7</v>
      </c>
      <c r="N104" s="131">
        <f t="shared" si="2"/>
        <v>157.79999999999998</v>
      </c>
      <c r="O104" s="116"/>
      <c r="P104" s="116"/>
      <c r="Q104" s="116"/>
    </row>
    <row r="105" spans="1:17" x14ac:dyDescent="0.25">
      <c r="A105" s="127" t="s">
        <v>420</v>
      </c>
      <c r="B105" s="141">
        <v>9.5</v>
      </c>
      <c r="C105" s="142">
        <v>10.4</v>
      </c>
      <c r="D105" s="142">
        <v>13.2</v>
      </c>
      <c r="E105" s="142">
        <v>13.1</v>
      </c>
      <c r="F105" s="142">
        <v>13.5</v>
      </c>
      <c r="G105" s="142">
        <v>15.4</v>
      </c>
      <c r="H105" s="142">
        <v>16.399999999999999</v>
      </c>
      <c r="I105" s="142">
        <v>17</v>
      </c>
      <c r="J105" s="142">
        <v>12.7</v>
      </c>
      <c r="K105" s="142">
        <v>9.4</v>
      </c>
      <c r="L105" s="142">
        <v>6.4</v>
      </c>
      <c r="M105" s="143">
        <v>5.6</v>
      </c>
      <c r="N105" s="131">
        <f t="shared" si="2"/>
        <v>142.6</v>
      </c>
      <c r="O105" s="116"/>
      <c r="P105" s="116"/>
      <c r="Q105" s="116"/>
    </row>
    <row r="106" spans="1:17" x14ac:dyDescent="0.25">
      <c r="A106" s="127" t="s">
        <v>421</v>
      </c>
      <c r="B106" s="141">
        <v>7.8</v>
      </c>
      <c r="C106" s="142">
        <v>8.8000000000000007</v>
      </c>
      <c r="D106" s="142">
        <v>11.5</v>
      </c>
      <c r="E106" s="142">
        <v>15.8</v>
      </c>
      <c r="F106" s="142">
        <v>16.8</v>
      </c>
      <c r="G106" s="142">
        <v>18.7</v>
      </c>
      <c r="H106" s="142">
        <v>20.9</v>
      </c>
      <c r="I106" s="142">
        <v>21.1</v>
      </c>
      <c r="J106" s="142">
        <v>15.8</v>
      </c>
      <c r="K106" s="142">
        <v>14.8</v>
      </c>
      <c r="L106" s="142">
        <v>10.199999999999999</v>
      </c>
      <c r="M106" s="143">
        <v>7.7</v>
      </c>
      <c r="N106" s="131">
        <f t="shared" si="2"/>
        <v>169.9</v>
      </c>
      <c r="O106" s="116"/>
      <c r="P106" s="116"/>
      <c r="Q106" s="116"/>
    </row>
    <row r="107" spans="1:17" x14ac:dyDescent="0.25">
      <c r="A107" s="127" t="s">
        <v>422</v>
      </c>
      <c r="B107" s="141">
        <v>2.4</v>
      </c>
      <c r="C107" s="142">
        <v>1</v>
      </c>
      <c r="D107" s="142">
        <v>2.2000000000000002</v>
      </c>
      <c r="E107" s="142">
        <v>6.8</v>
      </c>
      <c r="F107" s="142">
        <v>16.3</v>
      </c>
      <c r="G107" s="142">
        <v>16.899999999999999</v>
      </c>
      <c r="H107" s="142">
        <v>19.7</v>
      </c>
      <c r="I107" s="142">
        <v>18.100000000000001</v>
      </c>
      <c r="J107" s="142">
        <v>20.399999999999999</v>
      </c>
      <c r="K107" s="142">
        <v>21.1</v>
      </c>
      <c r="L107" s="142">
        <v>12.8</v>
      </c>
      <c r="M107" s="143">
        <v>5</v>
      </c>
      <c r="N107" s="131">
        <f t="shared" si="2"/>
        <v>142.70000000000002</v>
      </c>
      <c r="O107" s="116"/>
      <c r="P107" s="116"/>
      <c r="Q107" s="116"/>
    </row>
    <row r="108" spans="1:17" x14ac:dyDescent="0.25">
      <c r="A108" s="127" t="s">
        <v>423</v>
      </c>
      <c r="B108" s="141">
        <v>1</v>
      </c>
      <c r="C108" s="142">
        <v>0.5</v>
      </c>
      <c r="D108" s="142">
        <v>1</v>
      </c>
      <c r="E108" s="142">
        <v>4.5999999999999996</v>
      </c>
      <c r="F108" s="142">
        <v>14.3</v>
      </c>
      <c r="G108" s="142">
        <v>17.8</v>
      </c>
      <c r="H108" s="142">
        <v>19.5</v>
      </c>
      <c r="I108" s="142">
        <v>19.399999999999999</v>
      </c>
      <c r="J108" s="142">
        <v>20.3</v>
      </c>
      <c r="K108" s="142">
        <v>19.2</v>
      </c>
      <c r="L108" s="142">
        <v>11.3</v>
      </c>
      <c r="M108" s="143">
        <v>5.2</v>
      </c>
      <c r="N108" s="131">
        <f t="shared" si="2"/>
        <v>134.1</v>
      </c>
      <c r="O108" s="116"/>
      <c r="P108" s="116"/>
      <c r="Q108" s="116"/>
    </row>
    <row r="109" spans="1:17" x14ac:dyDescent="0.25">
      <c r="A109" s="127" t="s">
        <v>424</v>
      </c>
      <c r="B109" s="141">
        <v>9.3000000000000007</v>
      </c>
      <c r="C109" s="142">
        <v>13.1</v>
      </c>
      <c r="D109" s="142">
        <v>16.3</v>
      </c>
      <c r="E109" s="142">
        <v>13.4</v>
      </c>
      <c r="F109" s="142">
        <v>12.1</v>
      </c>
      <c r="G109" s="142">
        <v>12.9</v>
      </c>
      <c r="H109" s="142">
        <v>12.4</v>
      </c>
      <c r="I109" s="142">
        <v>15.4</v>
      </c>
      <c r="J109" s="142">
        <v>14.5</v>
      </c>
      <c r="K109" s="142">
        <v>11.9</v>
      </c>
      <c r="L109" s="142">
        <v>7.1</v>
      </c>
      <c r="M109" s="143">
        <v>5.6</v>
      </c>
      <c r="N109" s="131">
        <f t="shared" si="2"/>
        <v>144</v>
      </c>
      <c r="O109" s="116"/>
      <c r="P109" s="116"/>
      <c r="Q109" s="116"/>
    </row>
    <row r="110" spans="1:17" x14ac:dyDescent="0.25">
      <c r="A110" s="127" t="s">
        <v>425</v>
      </c>
      <c r="B110" s="141">
        <v>7.8</v>
      </c>
      <c r="C110" s="142">
        <v>4</v>
      </c>
      <c r="D110" s="142">
        <v>3.3</v>
      </c>
      <c r="E110" s="142">
        <v>4.3</v>
      </c>
      <c r="F110" s="142">
        <v>8.5</v>
      </c>
      <c r="G110" s="142">
        <v>9.1999999999999993</v>
      </c>
      <c r="H110" s="142">
        <v>8.4</v>
      </c>
      <c r="I110" s="142">
        <v>9.6</v>
      </c>
      <c r="J110" s="142">
        <v>15.2</v>
      </c>
      <c r="K110" s="142">
        <v>17.7</v>
      </c>
      <c r="L110" s="142">
        <v>17.600000000000001</v>
      </c>
      <c r="M110" s="143">
        <v>14</v>
      </c>
      <c r="N110" s="131">
        <f t="shared" si="2"/>
        <v>119.6</v>
      </c>
      <c r="O110" s="116"/>
      <c r="P110" s="116"/>
      <c r="Q110" s="116"/>
    </row>
    <row r="111" spans="1:17" x14ac:dyDescent="0.25">
      <c r="A111" s="127" t="s">
        <v>426</v>
      </c>
      <c r="B111" s="141">
        <v>9.1</v>
      </c>
      <c r="C111" s="142">
        <v>13.2</v>
      </c>
      <c r="D111" s="142">
        <v>16.100000000000001</v>
      </c>
      <c r="E111" s="142">
        <v>12.9</v>
      </c>
      <c r="F111" s="142">
        <v>12.6</v>
      </c>
      <c r="G111" s="142">
        <v>13.8</v>
      </c>
      <c r="H111" s="142">
        <v>12.9</v>
      </c>
      <c r="I111" s="142">
        <v>15.6</v>
      </c>
      <c r="J111" s="142">
        <v>15.1</v>
      </c>
      <c r="K111" s="142">
        <v>12.1</v>
      </c>
      <c r="L111" s="142">
        <v>7.9</v>
      </c>
      <c r="M111" s="143">
        <v>6.1</v>
      </c>
      <c r="N111" s="131">
        <f t="shared" si="2"/>
        <v>147.4</v>
      </c>
      <c r="O111" s="116"/>
      <c r="P111" s="116"/>
      <c r="Q111" s="116"/>
    </row>
    <row r="112" spans="1:17" x14ac:dyDescent="0.25">
      <c r="A112" s="127" t="s">
        <v>427</v>
      </c>
      <c r="B112" s="141">
        <v>0.4</v>
      </c>
      <c r="C112" s="142">
        <v>0.4</v>
      </c>
      <c r="D112" s="142">
        <v>0.7</v>
      </c>
      <c r="E112" s="142">
        <v>3.5</v>
      </c>
      <c r="F112" s="142">
        <v>12.7</v>
      </c>
      <c r="G112" s="142">
        <v>16.399999999999999</v>
      </c>
      <c r="H112" s="142">
        <v>16.3</v>
      </c>
      <c r="I112" s="142">
        <v>18.399999999999999</v>
      </c>
      <c r="J112" s="142">
        <v>17.2</v>
      </c>
      <c r="K112" s="142">
        <v>13.5</v>
      </c>
      <c r="L112" s="142">
        <v>7</v>
      </c>
      <c r="M112" s="143">
        <v>3.1</v>
      </c>
      <c r="N112" s="131">
        <f t="shared" si="2"/>
        <v>109.59999999999998</v>
      </c>
      <c r="O112" s="116"/>
      <c r="P112" s="116"/>
      <c r="Q112" s="116"/>
    </row>
    <row r="113" spans="1:17" x14ac:dyDescent="0.25">
      <c r="A113" s="127" t="s">
        <v>428</v>
      </c>
      <c r="B113" s="141">
        <v>8.3000000000000007</v>
      </c>
      <c r="C113" s="142">
        <v>13.4</v>
      </c>
      <c r="D113" s="142">
        <v>17.100000000000001</v>
      </c>
      <c r="E113" s="142">
        <v>13.9</v>
      </c>
      <c r="F113" s="142">
        <v>12.3</v>
      </c>
      <c r="G113" s="142">
        <v>14.6</v>
      </c>
      <c r="H113" s="142">
        <v>13.5</v>
      </c>
      <c r="I113" s="142">
        <v>17.399999999999999</v>
      </c>
      <c r="J113" s="142">
        <v>13.8</v>
      </c>
      <c r="K113" s="142">
        <v>10.6</v>
      </c>
      <c r="L113" s="142">
        <v>6.3</v>
      </c>
      <c r="M113" s="143">
        <v>5.2</v>
      </c>
      <c r="N113" s="131">
        <f t="shared" si="2"/>
        <v>146.4</v>
      </c>
      <c r="O113" s="116"/>
      <c r="P113" s="116"/>
      <c r="Q113" s="116"/>
    </row>
    <row r="114" spans="1:17" x14ac:dyDescent="0.25">
      <c r="A114" s="127" t="s">
        <v>429</v>
      </c>
      <c r="B114" s="141">
        <v>5.3</v>
      </c>
      <c r="C114" s="142">
        <v>3.9</v>
      </c>
      <c r="D114" s="142">
        <v>5.7</v>
      </c>
      <c r="E114" s="142">
        <v>11.5</v>
      </c>
      <c r="F114" s="142">
        <v>19.5</v>
      </c>
      <c r="G114" s="142">
        <v>21.8</v>
      </c>
      <c r="H114" s="142">
        <v>22.5</v>
      </c>
      <c r="I114" s="142">
        <v>24.4</v>
      </c>
      <c r="J114" s="142">
        <v>22.5</v>
      </c>
      <c r="K114" s="142">
        <v>21.6</v>
      </c>
      <c r="L114" s="142">
        <v>13.3</v>
      </c>
      <c r="M114" s="143">
        <v>6.2</v>
      </c>
      <c r="N114" s="131">
        <f t="shared" si="2"/>
        <v>178.2</v>
      </c>
      <c r="O114" s="116"/>
      <c r="P114" s="116"/>
      <c r="Q114" s="116"/>
    </row>
    <row r="115" spans="1:17" x14ac:dyDescent="0.25">
      <c r="A115" s="127" t="s">
        <v>430</v>
      </c>
      <c r="B115" s="141">
        <v>2</v>
      </c>
      <c r="C115" s="142">
        <v>1.7</v>
      </c>
      <c r="D115" s="142">
        <v>4.7</v>
      </c>
      <c r="E115" s="142">
        <v>10.8</v>
      </c>
      <c r="F115" s="142">
        <v>18.899999999999999</v>
      </c>
      <c r="G115" s="142">
        <v>21.6</v>
      </c>
      <c r="H115" s="142">
        <v>23.8</v>
      </c>
      <c r="I115" s="142">
        <v>24.5</v>
      </c>
      <c r="J115" s="142">
        <v>24.2</v>
      </c>
      <c r="K115" s="142">
        <v>20.9</v>
      </c>
      <c r="L115" s="142">
        <v>10.4</v>
      </c>
      <c r="M115" s="143">
        <v>3.9</v>
      </c>
      <c r="N115" s="131">
        <f t="shared" si="2"/>
        <v>167.4</v>
      </c>
      <c r="O115" s="116"/>
      <c r="P115" s="116"/>
      <c r="Q115" s="116"/>
    </row>
    <row r="116" spans="1:17" x14ac:dyDescent="0.25">
      <c r="A116" s="127" t="s">
        <v>431</v>
      </c>
      <c r="B116" s="141">
        <v>0.6</v>
      </c>
      <c r="C116" s="142">
        <v>0.9</v>
      </c>
      <c r="D116" s="142">
        <v>3.4</v>
      </c>
      <c r="E116" s="142">
        <v>8.1999999999999993</v>
      </c>
      <c r="F116" s="142">
        <v>18.5</v>
      </c>
      <c r="G116" s="142">
        <v>23.1</v>
      </c>
      <c r="H116" s="142">
        <v>26</v>
      </c>
      <c r="I116" s="142">
        <v>27.4</v>
      </c>
      <c r="J116" s="142">
        <v>25.3</v>
      </c>
      <c r="K116" s="142">
        <v>16.3</v>
      </c>
      <c r="L116" s="142">
        <v>7.4</v>
      </c>
      <c r="M116" s="143">
        <v>2.2999999999999998</v>
      </c>
      <c r="N116" s="131">
        <f t="shared" si="2"/>
        <v>159.40000000000003</v>
      </c>
      <c r="O116" s="116"/>
      <c r="P116" s="116"/>
      <c r="Q116" s="116"/>
    </row>
    <row r="117" spans="1:17" x14ac:dyDescent="0.25">
      <c r="A117" s="127" t="s">
        <v>432</v>
      </c>
      <c r="B117" s="141">
        <v>14.8</v>
      </c>
      <c r="C117" s="142">
        <v>8.4</v>
      </c>
      <c r="D117" s="142">
        <v>5.5</v>
      </c>
      <c r="E117" s="142">
        <v>5.8</v>
      </c>
      <c r="F117" s="142">
        <v>9.6999999999999993</v>
      </c>
      <c r="G117" s="142">
        <v>8.9</v>
      </c>
      <c r="H117" s="142">
        <v>9.9</v>
      </c>
      <c r="I117" s="142">
        <v>12.2</v>
      </c>
      <c r="J117" s="142">
        <v>16.399999999999999</v>
      </c>
      <c r="K117" s="142">
        <v>20.7</v>
      </c>
      <c r="L117" s="142">
        <v>22.2</v>
      </c>
      <c r="M117" s="143">
        <v>21.5</v>
      </c>
      <c r="N117" s="131">
        <f t="shared" si="2"/>
        <v>156</v>
      </c>
      <c r="O117" s="116"/>
      <c r="P117" s="116"/>
      <c r="Q117" s="116"/>
    </row>
    <row r="118" spans="1:17" x14ac:dyDescent="0.25">
      <c r="A118" s="127" t="s">
        <v>433</v>
      </c>
      <c r="B118" s="141">
        <v>13</v>
      </c>
      <c r="C118" s="142">
        <v>6</v>
      </c>
      <c r="D118" s="142">
        <v>4.3</v>
      </c>
      <c r="E118" s="142">
        <v>4.0999999999999996</v>
      </c>
      <c r="F118" s="142">
        <v>8.6999999999999993</v>
      </c>
      <c r="G118" s="142">
        <v>7.5</v>
      </c>
      <c r="H118" s="142">
        <v>7.2</v>
      </c>
      <c r="I118" s="142">
        <v>8.6</v>
      </c>
      <c r="J118" s="142">
        <v>16</v>
      </c>
      <c r="K118" s="142">
        <v>20.7</v>
      </c>
      <c r="L118" s="142">
        <v>21.2</v>
      </c>
      <c r="M118" s="143">
        <v>19.100000000000001</v>
      </c>
      <c r="N118" s="131">
        <f t="shared" si="2"/>
        <v>136.4</v>
      </c>
      <c r="O118" s="116"/>
      <c r="P118" s="116"/>
      <c r="Q118" s="116"/>
    </row>
    <row r="119" spans="1:17" x14ac:dyDescent="0.25">
      <c r="A119" s="127" t="s">
        <v>434</v>
      </c>
      <c r="B119" s="141">
        <v>1.6</v>
      </c>
      <c r="C119" s="142">
        <v>1.3</v>
      </c>
      <c r="D119" s="142">
        <v>2.4</v>
      </c>
      <c r="E119" s="142">
        <v>7.9</v>
      </c>
      <c r="F119" s="142">
        <v>16.5</v>
      </c>
      <c r="G119" s="142">
        <v>20</v>
      </c>
      <c r="H119" s="142">
        <v>20.3</v>
      </c>
      <c r="I119" s="142">
        <v>22.1</v>
      </c>
      <c r="J119" s="142">
        <v>19.8</v>
      </c>
      <c r="K119" s="142">
        <v>21.1</v>
      </c>
      <c r="L119" s="142">
        <v>15.6</v>
      </c>
      <c r="M119" s="143">
        <v>5.8</v>
      </c>
      <c r="N119" s="131">
        <f t="shared" si="2"/>
        <v>154.4</v>
      </c>
      <c r="O119" s="116"/>
      <c r="P119" s="116"/>
      <c r="Q119" s="116"/>
    </row>
    <row r="120" spans="1:17" x14ac:dyDescent="0.25">
      <c r="A120" s="127" t="s">
        <v>435</v>
      </c>
      <c r="B120" s="141">
        <v>15.4</v>
      </c>
      <c r="C120" s="142">
        <v>16.2</v>
      </c>
      <c r="D120" s="142">
        <v>15.5</v>
      </c>
      <c r="E120" s="142">
        <v>18</v>
      </c>
      <c r="F120" s="142">
        <v>22.5</v>
      </c>
      <c r="G120" s="142">
        <v>24.3</v>
      </c>
      <c r="H120" s="142">
        <v>25.7</v>
      </c>
      <c r="I120" s="142">
        <v>23.5</v>
      </c>
      <c r="J120" s="142">
        <v>20</v>
      </c>
      <c r="K120" s="142">
        <v>18.3</v>
      </c>
      <c r="L120" s="142">
        <v>13.8</v>
      </c>
      <c r="M120" s="143">
        <v>12.5</v>
      </c>
      <c r="N120" s="131">
        <f t="shared" si="2"/>
        <v>225.70000000000002</v>
      </c>
      <c r="O120" s="116"/>
      <c r="P120" s="116"/>
      <c r="Q120" s="116"/>
    </row>
    <row r="121" spans="1:17" x14ac:dyDescent="0.25">
      <c r="A121" s="127" t="s">
        <v>436</v>
      </c>
      <c r="B121" s="141">
        <v>1.4</v>
      </c>
      <c r="C121" s="142">
        <v>0.8</v>
      </c>
      <c r="D121" s="142">
        <v>1.6</v>
      </c>
      <c r="E121" s="142">
        <v>6.5</v>
      </c>
      <c r="F121" s="142">
        <v>18.399999999999999</v>
      </c>
      <c r="G121" s="142">
        <v>22.8</v>
      </c>
      <c r="H121" s="142">
        <v>23.2</v>
      </c>
      <c r="I121" s="142">
        <v>23.7</v>
      </c>
      <c r="J121" s="142">
        <v>24.3</v>
      </c>
      <c r="K121" s="142">
        <v>22.3</v>
      </c>
      <c r="L121" s="142">
        <v>11.4</v>
      </c>
      <c r="M121" s="143">
        <v>5.7</v>
      </c>
      <c r="N121" s="131">
        <f t="shared" si="2"/>
        <v>162.1</v>
      </c>
      <c r="O121" s="116"/>
      <c r="P121" s="116"/>
      <c r="Q121" s="116"/>
    </row>
    <row r="122" spans="1:17" x14ac:dyDescent="0.25">
      <c r="A122" s="127" t="s">
        <v>437</v>
      </c>
      <c r="B122" s="141">
        <v>4.8</v>
      </c>
      <c r="C122" s="142">
        <v>4.9000000000000004</v>
      </c>
      <c r="D122" s="142">
        <v>6.1</v>
      </c>
      <c r="E122" s="142">
        <v>12.6</v>
      </c>
      <c r="F122" s="142">
        <v>17.100000000000001</v>
      </c>
      <c r="G122" s="142">
        <v>19.5</v>
      </c>
      <c r="H122" s="142">
        <v>21.5</v>
      </c>
      <c r="I122" s="142">
        <v>20</v>
      </c>
      <c r="J122" s="142">
        <v>13.6</v>
      </c>
      <c r="K122" s="142">
        <v>8.6</v>
      </c>
      <c r="L122" s="142">
        <v>4.5999999999999996</v>
      </c>
      <c r="M122" s="143">
        <v>3.5</v>
      </c>
      <c r="N122" s="131">
        <f t="shared" si="2"/>
        <v>136.79999999999998</v>
      </c>
      <c r="O122" s="116"/>
      <c r="P122" s="116"/>
      <c r="Q122" s="116"/>
    </row>
    <row r="123" spans="1:17" x14ac:dyDescent="0.25">
      <c r="A123" s="127" t="s">
        <v>438</v>
      </c>
      <c r="B123" s="141">
        <v>9.8000000000000007</v>
      </c>
      <c r="C123" s="142">
        <v>11.9</v>
      </c>
      <c r="D123" s="142">
        <v>14.5</v>
      </c>
      <c r="E123" s="142">
        <v>13.9</v>
      </c>
      <c r="F123" s="142">
        <v>15.5</v>
      </c>
      <c r="G123" s="142">
        <v>15.6</v>
      </c>
      <c r="H123" s="142">
        <v>16.7</v>
      </c>
      <c r="I123" s="142">
        <v>16.600000000000001</v>
      </c>
      <c r="J123" s="142">
        <v>13.1</v>
      </c>
      <c r="K123" s="142">
        <v>10.1</v>
      </c>
      <c r="L123" s="142">
        <v>7.2</v>
      </c>
      <c r="M123" s="143">
        <v>5.7</v>
      </c>
      <c r="N123" s="131">
        <f t="shared" si="2"/>
        <v>150.59999999999997</v>
      </c>
      <c r="O123" s="116"/>
      <c r="P123" s="116"/>
      <c r="Q123" s="116"/>
    </row>
    <row r="124" spans="1:17" x14ac:dyDescent="0.25">
      <c r="A124" s="127" t="s">
        <v>439</v>
      </c>
      <c r="B124" s="141">
        <v>16.8</v>
      </c>
      <c r="C124" s="142">
        <v>18</v>
      </c>
      <c r="D124" s="142">
        <v>21</v>
      </c>
      <c r="E124" s="142">
        <v>19.7</v>
      </c>
      <c r="F124" s="142">
        <v>17.8</v>
      </c>
      <c r="G124" s="142">
        <v>18.399999999999999</v>
      </c>
      <c r="H124" s="142">
        <v>20</v>
      </c>
      <c r="I124" s="142">
        <v>20.3</v>
      </c>
      <c r="J124" s="142">
        <v>16.3</v>
      </c>
      <c r="K124" s="142">
        <v>13.6</v>
      </c>
      <c r="L124" s="142">
        <v>10.6</v>
      </c>
      <c r="M124" s="143">
        <v>10.6</v>
      </c>
      <c r="N124" s="131">
        <f t="shared" si="2"/>
        <v>203.1</v>
      </c>
      <c r="O124" s="116"/>
      <c r="P124" s="116"/>
      <c r="Q124" s="116"/>
    </row>
    <row r="125" spans="1:17" x14ac:dyDescent="0.25">
      <c r="A125" s="127" t="s">
        <v>374</v>
      </c>
      <c r="B125" s="141">
        <v>2.4</v>
      </c>
      <c r="C125" s="142">
        <v>1</v>
      </c>
      <c r="D125" s="142">
        <v>1.9</v>
      </c>
      <c r="E125" s="142">
        <v>5.4</v>
      </c>
      <c r="F125" s="142">
        <v>17.8</v>
      </c>
      <c r="G125" s="142">
        <v>22.2</v>
      </c>
      <c r="H125" s="142">
        <v>22.9</v>
      </c>
      <c r="I125" s="142">
        <v>22.4</v>
      </c>
      <c r="J125" s="142">
        <v>23.4</v>
      </c>
      <c r="K125" s="142">
        <v>20.9</v>
      </c>
      <c r="L125" s="142">
        <v>12.1</v>
      </c>
      <c r="M125" s="143">
        <v>6.7</v>
      </c>
      <c r="N125" s="131">
        <f t="shared" si="2"/>
        <v>159.1</v>
      </c>
      <c r="O125" s="116"/>
      <c r="P125" s="116"/>
      <c r="Q125" s="116"/>
    </row>
    <row r="126" spans="1:17" x14ac:dyDescent="0.25">
      <c r="A126" s="127" t="s">
        <v>440</v>
      </c>
      <c r="B126" s="141">
        <v>1.7</v>
      </c>
      <c r="C126" s="142">
        <v>1.6</v>
      </c>
      <c r="D126" s="142">
        <v>2.8</v>
      </c>
      <c r="E126" s="142">
        <v>7.4</v>
      </c>
      <c r="F126" s="142">
        <v>16</v>
      </c>
      <c r="G126" s="142">
        <v>20.5</v>
      </c>
      <c r="H126" s="142">
        <v>21.8</v>
      </c>
      <c r="I126" s="142">
        <v>21.6</v>
      </c>
      <c r="J126" s="142">
        <v>23.6</v>
      </c>
      <c r="K126" s="142">
        <v>21.9</v>
      </c>
      <c r="L126" s="142">
        <v>11.6</v>
      </c>
      <c r="M126" s="143">
        <v>3.8</v>
      </c>
      <c r="N126" s="131">
        <f t="shared" si="2"/>
        <v>154.30000000000001</v>
      </c>
      <c r="O126" s="116"/>
      <c r="P126" s="116"/>
      <c r="Q126" s="116"/>
    </row>
    <row r="127" spans="1:17" x14ac:dyDescent="0.25">
      <c r="A127" s="127" t="s">
        <v>441</v>
      </c>
      <c r="B127" s="141">
        <v>9.4</v>
      </c>
      <c r="C127" s="142">
        <v>13.4</v>
      </c>
      <c r="D127" s="142">
        <v>17</v>
      </c>
      <c r="E127" s="142">
        <v>13.4</v>
      </c>
      <c r="F127" s="142">
        <v>12.5</v>
      </c>
      <c r="G127" s="142">
        <v>13</v>
      </c>
      <c r="H127" s="142">
        <v>12.1</v>
      </c>
      <c r="I127" s="142">
        <v>15.5</v>
      </c>
      <c r="J127" s="142">
        <v>15.3</v>
      </c>
      <c r="K127" s="142">
        <v>12.4</v>
      </c>
      <c r="L127" s="142">
        <v>7.9</v>
      </c>
      <c r="M127" s="143">
        <v>6.1</v>
      </c>
      <c r="N127" s="131">
        <f t="shared" si="2"/>
        <v>147.99999999999997</v>
      </c>
      <c r="O127" s="116"/>
      <c r="P127" s="116"/>
      <c r="Q127" s="116"/>
    </row>
    <row r="128" spans="1:17" x14ac:dyDescent="0.25">
      <c r="A128" s="127" t="s">
        <v>442</v>
      </c>
      <c r="B128" s="141">
        <v>10.4</v>
      </c>
      <c r="C128" s="142">
        <v>12.4</v>
      </c>
      <c r="D128" s="142">
        <v>17.8</v>
      </c>
      <c r="E128" s="142">
        <v>17.5</v>
      </c>
      <c r="F128" s="142">
        <v>15.3</v>
      </c>
      <c r="G128" s="142">
        <v>17</v>
      </c>
      <c r="H128" s="142">
        <v>17.7</v>
      </c>
      <c r="I128" s="142">
        <v>18.100000000000001</v>
      </c>
      <c r="J128" s="142">
        <v>13.5</v>
      </c>
      <c r="K128" s="142">
        <v>10.7</v>
      </c>
      <c r="L128" s="142">
        <v>7.3</v>
      </c>
      <c r="M128" s="143">
        <v>5.7</v>
      </c>
      <c r="N128" s="131">
        <f t="shared" si="2"/>
        <v>163.4</v>
      </c>
      <c r="O128" s="116"/>
      <c r="P128" s="116"/>
      <c r="Q128" s="116"/>
    </row>
    <row r="129" spans="1:17" x14ac:dyDescent="0.25">
      <c r="A129" s="127" t="s">
        <v>443</v>
      </c>
      <c r="B129" s="141">
        <v>9.8000000000000007</v>
      </c>
      <c r="C129" s="142">
        <v>12</v>
      </c>
      <c r="D129" s="142">
        <v>14.4</v>
      </c>
      <c r="E129" s="142">
        <v>11.5</v>
      </c>
      <c r="F129" s="142">
        <v>12.2</v>
      </c>
      <c r="G129" s="142">
        <v>12.4</v>
      </c>
      <c r="H129" s="142">
        <v>11</v>
      </c>
      <c r="I129" s="142">
        <v>15.1</v>
      </c>
      <c r="J129" s="142">
        <v>15.2</v>
      </c>
      <c r="K129" s="142">
        <v>12.6</v>
      </c>
      <c r="L129" s="142">
        <v>8</v>
      </c>
      <c r="M129" s="143">
        <v>5.6</v>
      </c>
      <c r="N129" s="131">
        <f t="shared" si="2"/>
        <v>139.79999999999998</v>
      </c>
      <c r="O129" s="116"/>
      <c r="P129" s="116"/>
      <c r="Q129" s="116"/>
    </row>
    <row r="130" spans="1:17" x14ac:dyDescent="0.25">
      <c r="A130" s="127" t="s">
        <v>444</v>
      </c>
      <c r="B130" s="141">
        <v>15.9</v>
      </c>
      <c r="C130" s="142">
        <v>9.9</v>
      </c>
      <c r="D130" s="142">
        <v>6.3</v>
      </c>
      <c r="E130" s="142">
        <v>7.3</v>
      </c>
      <c r="F130" s="142">
        <v>12.5</v>
      </c>
      <c r="G130" s="142">
        <v>17.3</v>
      </c>
      <c r="H130" s="142">
        <v>18.5</v>
      </c>
      <c r="I130" s="142">
        <v>19.399999999999999</v>
      </c>
      <c r="J130" s="142">
        <v>17.7</v>
      </c>
      <c r="K130" s="142">
        <v>20.5</v>
      </c>
      <c r="L130" s="142">
        <v>23.2</v>
      </c>
      <c r="M130" s="143">
        <v>22.7</v>
      </c>
      <c r="N130" s="131">
        <f t="shared" si="2"/>
        <v>191.2</v>
      </c>
      <c r="O130" s="116"/>
      <c r="P130" s="116"/>
      <c r="Q130" s="116"/>
    </row>
    <row r="131" spans="1:17" x14ac:dyDescent="0.25">
      <c r="A131" s="127" t="s">
        <v>445</v>
      </c>
      <c r="B131" s="141">
        <v>11.5</v>
      </c>
      <c r="C131" s="142">
        <v>5.3</v>
      </c>
      <c r="D131" s="142">
        <v>3.8</v>
      </c>
      <c r="E131" s="142">
        <v>4.0999999999999996</v>
      </c>
      <c r="F131" s="142">
        <v>8.5</v>
      </c>
      <c r="G131" s="142">
        <v>7.6</v>
      </c>
      <c r="H131" s="142">
        <v>6.6</v>
      </c>
      <c r="I131" s="142">
        <v>9</v>
      </c>
      <c r="J131" s="142">
        <v>16</v>
      </c>
      <c r="K131" s="142">
        <v>20.2</v>
      </c>
      <c r="L131" s="142">
        <v>20.399999999999999</v>
      </c>
      <c r="M131" s="143">
        <v>17.5</v>
      </c>
      <c r="N131" s="131">
        <f t="shared" si="2"/>
        <v>130.5</v>
      </c>
      <c r="O131" s="116"/>
      <c r="P131" s="116"/>
      <c r="Q131" s="116"/>
    </row>
    <row r="132" spans="1:17" x14ac:dyDescent="0.25">
      <c r="A132" s="127" t="s">
        <v>446</v>
      </c>
      <c r="B132" s="141">
        <v>10.6</v>
      </c>
      <c r="C132" s="142">
        <v>11.6</v>
      </c>
      <c r="D132" s="142">
        <v>15.1</v>
      </c>
      <c r="E132" s="142">
        <v>15</v>
      </c>
      <c r="F132" s="142">
        <v>14.7</v>
      </c>
      <c r="G132" s="142">
        <v>16.3</v>
      </c>
      <c r="H132" s="142">
        <v>17.5</v>
      </c>
      <c r="I132" s="142">
        <v>18.100000000000001</v>
      </c>
      <c r="J132" s="142">
        <v>13</v>
      </c>
      <c r="K132" s="142">
        <v>11.2</v>
      </c>
      <c r="L132" s="142">
        <v>7.4</v>
      </c>
      <c r="M132" s="143">
        <v>6.6</v>
      </c>
      <c r="N132" s="131">
        <f t="shared" si="2"/>
        <v>157.1</v>
      </c>
      <c r="O132" s="116"/>
      <c r="P132" s="116"/>
      <c r="Q132" s="116"/>
    </row>
    <row r="133" spans="1:17" x14ac:dyDescent="0.25">
      <c r="A133" s="127" t="s">
        <v>447</v>
      </c>
      <c r="B133" s="141">
        <v>7.1</v>
      </c>
      <c r="C133" s="142">
        <v>9.9</v>
      </c>
      <c r="D133" s="142">
        <v>13.4</v>
      </c>
      <c r="E133" s="142">
        <v>12.2</v>
      </c>
      <c r="F133" s="142">
        <v>13.1</v>
      </c>
      <c r="G133" s="142">
        <v>15.6</v>
      </c>
      <c r="H133" s="142">
        <v>16.100000000000001</v>
      </c>
      <c r="I133" s="142">
        <v>18.7</v>
      </c>
      <c r="J133" s="142">
        <v>14.2</v>
      </c>
      <c r="K133" s="142">
        <v>9.6</v>
      </c>
      <c r="L133" s="142">
        <v>5.0999999999999996</v>
      </c>
      <c r="M133" s="143">
        <v>4.2</v>
      </c>
      <c r="N133" s="131">
        <f t="shared" si="2"/>
        <v>139.19999999999999</v>
      </c>
      <c r="O133" s="116"/>
      <c r="P133" s="116"/>
      <c r="Q133" s="116"/>
    </row>
    <row r="134" spans="1:17" x14ac:dyDescent="0.25">
      <c r="A134" s="127" t="s">
        <v>448</v>
      </c>
      <c r="B134" s="141">
        <v>11.5</v>
      </c>
      <c r="C134" s="142">
        <v>13.4</v>
      </c>
      <c r="D134" s="142">
        <v>15.9</v>
      </c>
      <c r="E134" s="142">
        <v>14.5</v>
      </c>
      <c r="F134" s="142">
        <v>15</v>
      </c>
      <c r="G134" s="142">
        <v>15.3</v>
      </c>
      <c r="H134" s="142">
        <v>16.5</v>
      </c>
      <c r="I134" s="142">
        <v>16.5</v>
      </c>
      <c r="J134" s="142">
        <v>12.5</v>
      </c>
      <c r="K134" s="142">
        <v>9.8000000000000007</v>
      </c>
      <c r="L134" s="142">
        <v>8.5</v>
      </c>
      <c r="M134" s="143">
        <v>6.2</v>
      </c>
      <c r="N134" s="131">
        <f t="shared" si="2"/>
        <v>155.6</v>
      </c>
      <c r="O134" s="116"/>
      <c r="P134" s="116"/>
      <c r="Q134" s="116"/>
    </row>
    <row r="135" spans="1:17" x14ac:dyDescent="0.25">
      <c r="A135" s="127" t="s">
        <v>449</v>
      </c>
      <c r="B135" s="141">
        <v>13.1</v>
      </c>
      <c r="C135" s="142">
        <v>14.4</v>
      </c>
      <c r="D135" s="142">
        <v>14.2</v>
      </c>
      <c r="E135" s="142">
        <v>11.1</v>
      </c>
      <c r="F135" s="142">
        <v>10.9</v>
      </c>
      <c r="G135" s="142">
        <v>8.8000000000000007</v>
      </c>
      <c r="H135" s="142">
        <v>7.4</v>
      </c>
      <c r="I135" s="142">
        <v>11.8</v>
      </c>
      <c r="J135" s="142">
        <v>14.9</v>
      </c>
      <c r="K135" s="142">
        <v>16.399999999999999</v>
      </c>
      <c r="L135" s="142">
        <v>13.5</v>
      </c>
      <c r="M135" s="143">
        <v>10.6</v>
      </c>
      <c r="N135" s="131">
        <f t="shared" si="2"/>
        <v>147.1</v>
      </c>
      <c r="O135" s="116"/>
      <c r="P135" s="116"/>
      <c r="Q135" s="116"/>
    </row>
    <row r="136" spans="1:17" x14ac:dyDescent="0.25">
      <c r="A136" s="127" t="s">
        <v>450</v>
      </c>
      <c r="B136" s="141">
        <v>10.5</v>
      </c>
      <c r="C136" s="142">
        <v>11.5</v>
      </c>
      <c r="D136" s="142">
        <v>15.1</v>
      </c>
      <c r="E136" s="142">
        <v>14.2</v>
      </c>
      <c r="F136" s="142">
        <v>14.6</v>
      </c>
      <c r="G136" s="142">
        <v>15.3</v>
      </c>
      <c r="H136" s="142">
        <v>16.899999999999999</v>
      </c>
      <c r="I136" s="142">
        <v>17.100000000000001</v>
      </c>
      <c r="J136" s="142">
        <v>13</v>
      </c>
      <c r="K136" s="142">
        <v>10.1</v>
      </c>
      <c r="L136" s="142">
        <v>7.8</v>
      </c>
      <c r="M136" s="143">
        <v>5.3</v>
      </c>
      <c r="N136" s="131">
        <f t="shared" si="2"/>
        <v>151.4</v>
      </c>
      <c r="O136" s="116"/>
      <c r="P136" s="116"/>
      <c r="Q136" s="116"/>
    </row>
    <row r="137" spans="1:17" x14ac:dyDescent="0.25">
      <c r="A137" s="127" t="s">
        <v>451</v>
      </c>
      <c r="B137" s="141">
        <v>0.9</v>
      </c>
      <c r="C137" s="142">
        <v>0.2</v>
      </c>
      <c r="D137" s="142">
        <v>0.8</v>
      </c>
      <c r="E137" s="142">
        <v>3.7</v>
      </c>
      <c r="F137" s="142">
        <v>13.9</v>
      </c>
      <c r="G137" s="142">
        <v>18.600000000000001</v>
      </c>
      <c r="H137" s="142">
        <v>20</v>
      </c>
      <c r="I137" s="142">
        <v>18.5</v>
      </c>
      <c r="J137" s="142">
        <v>18.8</v>
      </c>
      <c r="K137" s="142">
        <v>17</v>
      </c>
      <c r="L137" s="142">
        <v>7.3</v>
      </c>
      <c r="M137" s="143">
        <v>3.1</v>
      </c>
      <c r="N137" s="131">
        <f t="shared" si="2"/>
        <v>122.79999999999998</v>
      </c>
      <c r="O137" s="116"/>
      <c r="P137" s="116"/>
      <c r="Q137" s="116"/>
    </row>
    <row r="138" spans="1:17" ht="15.75" thickBot="1" x14ac:dyDescent="0.3">
      <c r="A138" s="132" t="s">
        <v>452</v>
      </c>
      <c r="B138" s="144">
        <v>14.9</v>
      </c>
      <c r="C138" s="145">
        <v>17.2</v>
      </c>
      <c r="D138" s="145">
        <v>21.2</v>
      </c>
      <c r="E138" s="145">
        <v>21.2</v>
      </c>
      <c r="F138" s="145">
        <v>16.899999999999999</v>
      </c>
      <c r="G138" s="145">
        <v>16.8</v>
      </c>
      <c r="H138" s="145">
        <v>18.8</v>
      </c>
      <c r="I138" s="145">
        <v>18.399999999999999</v>
      </c>
      <c r="J138" s="145">
        <v>14.3</v>
      </c>
      <c r="K138" s="145">
        <v>12.4</v>
      </c>
      <c r="L138" s="145">
        <v>9.4</v>
      </c>
      <c r="M138" s="146">
        <v>9.1</v>
      </c>
      <c r="N138" s="136">
        <f t="shared" si="2"/>
        <v>190.60000000000002</v>
      </c>
      <c r="O138" s="116"/>
      <c r="P138" s="116"/>
      <c r="Q138" s="116"/>
    </row>
    <row r="139" spans="1:17" x14ac:dyDescent="0.25">
      <c r="A139" s="116"/>
      <c r="B139" s="116"/>
      <c r="C139" s="116"/>
      <c r="D139" s="116"/>
      <c r="E139" s="116"/>
      <c r="F139" s="116"/>
      <c r="G139" s="116"/>
      <c r="H139" s="116"/>
      <c r="I139" s="116"/>
      <c r="J139" s="116"/>
      <c r="K139" s="116"/>
      <c r="L139" s="116"/>
      <c r="M139" s="116"/>
      <c r="N139" s="116"/>
      <c r="O139" s="116"/>
      <c r="P139" s="116"/>
      <c r="Q139" s="116"/>
    </row>
    <row r="140" spans="1:17" ht="15.75" thickBot="1" x14ac:dyDescent="0.3">
      <c r="A140" s="116"/>
      <c r="B140" s="116"/>
      <c r="C140" s="116"/>
      <c r="D140" s="116"/>
      <c r="E140" s="116"/>
      <c r="F140" s="116"/>
      <c r="G140" s="116"/>
      <c r="H140" s="116"/>
      <c r="I140" s="116"/>
      <c r="J140" s="116"/>
      <c r="K140" s="116"/>
      <c r="L140" s="116"/>
      <c r="M140" s="116"/>
      <c r="N140" s="116"/>
      <c r="O140" s="116"/>
      <c r="P140" s="116"/>
      <c r="Q140" s="116"/>
    </row>
    <row r="141" spans="1:17" ht="24" customHeight="1" thickBot="1" x14ac:dyDescent="0.3">
      <c r="A141" s="2453" t="s">
        <v>454</v>
      </c>
      <c r="B141" s="2454"/>
      <c r="C141" s="2454"/>
      <c r="D141" s="2454"/>
      <c r="E141" s="2454"/>
      <c r="F141" s="2454"/>
      <c r="G141" s="113"/>
      <c r="H141" s="113"/>
      <c r="I141" s="113"/>
      <c r="J141" s="113"/>
      <c r="K141" s="113"/>
      <c r="L141" s="113"/>
      <c r="M141" s="113"/>
      <c r="N141" s="113"/>
      <c r="O141" s="113"/>
      <c r="P141" s="113"/>
      <c r="Q141" s="137"/>
    </row>
    <row r="142" spans="1:17" x14ac:dyDescent="0.25">
      <c r="A142" s="116"/>
      <c r="B142" s="116"/>
      <c r="C142" s="116"/>
      <c r="D142" s="116"/>
      <c r="E142" s="116"/>
      <c r="F142" s="116"/>
      <c r="G142" s="116"/>
      <c r="H142" s="116"/>
      <c r="I142" s="116"/>
      <c r="J142" s="116"/>
      <c r="K142" s="116"/>
      <c r="L142" s="116"/>
      <c r="M142" s="116"/>
      <c r="N142" s="116"/>
      <c r="O142" s="116"/>
      <c r="P142" s="116"/>
      <c r="Q142" s="116"/>
    </row>
    <row r="143" spans="1:17" x14ac:dyDescent="0.25">
      <c r="A143" s="116" t="s">
        <v>455</v>
      </c>
      <c r="B143" s="116"/>
      <c r="C143" s="116"/>
      <c r="D143" s="116"/>
      <c r="E143" s="116"/>
      <c r="F143" s="116"/>
      <c r="G143" s="116"/>
      <c r="H143" s="116"/>
      <c r="I143" s="116"/>
      <c r="J143" s="116"/>
      <c r="K143" s="116"/>
      <c r="L143" s="116"/>
      <c r="M143" s="116"/>
      <c r="N143" s="116"/>
      <c r="O143" s="116"/>
      <c r="P143" s="116"/>
      <c r="Q143" s="116"/>
    </row>
    <row r="144" spans="1:17" ht="15.75" thickBot="1" x14ac:dyDescent="0.3">
      <c r="A144" s="116"/>
      <c r="B144" s="116"/>
      <c r="C144" s="116"/>
      <c r="D144" s="116"/>
      <c r="E144" s="116"/>
      <c r="F144" s="116"/>
      <c r="G144" s="116"/>
      <c r="H144" s="116"/>
      <c r="I144" s="116"/>
      <c r="J144" s="116"/>
      <c r="K144" s="116"/>
      <c r="L144" s="116"/>
      <c r="M144" s="116"/>
      <c r="N144" s="116"/>
      <c r="O144" s="116"/>
      <c r="P144" s="116"/>
      <c r="Q144" s="116"/>
    </row>
    <row r="145" spans="1:17" ht="15.75" thickBot="1" x14ac:dyDescent="0.3">
      <c r="A145" s="117"/>
      <c r="B145" s="118" t="s">
        <v>377</v>
      </c>
      <c r="C145" s="119" t="s">
        <v>378</v>
      </c>
      <c r="D145" s="119" t="s">
        <v>379</v>
      </c>
      <c r="E145" s="119" t="s">
        <v>380</v>
      </c>
      <c r="F145" s="119" t="s">
        <v>381</v>
      </c>
      <c r="G145" s="119" t="s">
        <v>382</v>
      </c>
      <c r="H145" s="119" t="s">
        <v>383</v>
      </c>
      <c r="I145" s="119" t="s">
        <v>384</v>
      </c>
      <c r="J145" s="119" t="s">
        <v>385</v>
      </c>
      <c r="K145" s="119" t="s">
        <v>386</v>
      </c>
      <c r="L145" s="119" t="s">
        <v>387</v>
      </c>
      <c r="M145" s="120" t="s">
        <v>388</v>
      </c>
      <c r="N145" s="121" t="s">
        <v>389</v>
      </c>
      <c r="O145" s="116"/>
      <c r="P145" s="116"/>
      <c r="Q145" s="116"/>
    </row>
    <row r="146" spans="1:17" x14ac:dyDescent="0.25">
      <c r="A146" s="122" t="s">
        <v>390</v>
      </c>
      <c r="B146" s="147">
        <f t="shared" ref="B146:M161" si="3">IF(B5/B75&gt;5,(B5-B75*5)*0.75,0)</f>
        <v>0</v>
      </c>
      <c r="C146" s="148">
        <f t="shared" si="3"/>
        <v>0</v>
      </c>
      <c r="D146" s="148">
        <f t="shared" si="3"/>
        <v>0</v>
      </c>
      <c r="E146" s="148">
        <f t="shared" si="3"/>
        <v>22.125</v>
      </c>
      <c r="F146" s="148">
        <f t="shared" si="3"/>
        <v>138.375</v>
      </c>
      <c r="G146" s="148">
        <f t="shared" si="3"/>
        <v>158.625</v>
      </c>
      <c r="H146" s="148">
        <f t="shared" si="3"/>
        <v>197.25</v>
      </c>
      <c r="I146" s="148">
        <f t="shared" si="3"/>
        <v>192.75</v>
      </c>
      <c r="J146" s="148">
        <f t="shared" si="3"/>
        <v>132.375</v>
      </c>
      <c r="K146" s="148">
        <f t="shared" si="3"/>
        <v>113.625</v>
      </c>
      <c r="L146" s="148">
        <f t="shared" si="3"/>
        <v>19.5</v>
      </c>
      <c r="M146" s="148">
        <f t="shared" si="3"/>
        <v>0</v>
      </c>
      <c r="N146" s="149">
        <f t="shared" ref="N146:N209" si="4">SUM(B146:M146)</f>
        <v>974.625</v>
      </c>
      <c r="O146" s="116"/>
      <c r="P146" s="116"/>
      <c r="Q146" s="116"/>
    </row>
    <row r="147" spans="1:17" x14ac:dyDescent="0.25">
      <c r="A147" s="127" t="s">
        <v>391</v>
      </c>
      <c r="B147" s="150">
        <f t="shared" si="3"/>
        <v>0</v>
      </c>
      <c r="C147" s="151">
        <f t="shared" si="3"/>
        <v>0</v>
      </c>
      <c r="D147" s="151">
        <f t="shared" si="3"/>
        <v>0</v>
      </c>
      <c r="E147" s="151">
        <f t="shared" si="3"/>
        <v>30.75</v>
      </c>
      <c r="F147" s="151">
        <f t="shared" si="3"/>
        <v>93</v>
      </c>
      <c r="G147" s="151">
        <f t="shared" si="3"/>
        <v>134.25</v>
      </c>
      <c r="H147" s="151">
        <f t="shared" si="3"/>
        <v>133.875</v>
      </c>
      <c r="I147" s="151">
        <f t="shared" si="3"/>
        <v>152.25</v>
      </c>
      <c r="J147" s="151">
        <f t="shared" si="3"/>
        <v>87.375</v>
      </c>
      <c r="K147" s="151">
        <f t="shared" si="3"/>
        <v>52.875</v>
      </c>
      <c r="L147" s="151">
        <f t="shared" si="3"/>
        <v>4.125</v>
      </c>
      <c r="M147" s="151">
        <f t="shared" si="3"/>
        <v>0</v>
      </c>
      <c r="N147" s="152">
        <f t="shared" si="4"/>
        <v>688.5</v>
      </c>
      <c r="O147" s="116"/>
      <c r="P147" s="116"/>
      <c r="Q147" s="116"/>
    </row>
    <row r="148" spans="1:17" x14ac:dyDescent="0.25">
      <c r="A148" s="127" t="s">
        <v>392</v>
      </c>
      <c r="B148" s="150">
        <f t="shared" si="3"/>
        <v>0</v>
      </c>
      <c r="C148" s="151">
        <f t="shared" si="3"/>
        <v>0</v>
      </c>
      <c r="D148" s="151">
        <f t="shared" si="3"/>
        <v>0</v>
      </c>
      <c r="E148" s="151">
        <f t="shared" si="3"/>
        <v>31.5</v>
      </c>
      <c r="F148" s="151">
        <f t="shared" si="3"/>
        <v>79.875</v>
      </c>
      <c r="G148" s="151">
        <f t="shared" si="3"/>
        <v>138.75</v>
      </c>
      <c r="H148" s="151">
        <f t="shared" si="3"/>
        <v>138.375</v>
      </c>
      <c r="I148" s="151">
        <f t="shared" si="3"/>
        <v>136.875</v>
      </c>
      <c r="J148" s="151">
        <f t="shared" si="3"/>
        <v>63</v>
      </c>
      <c r="K148" s="151">
        <f t="shared" si="3"/>
        <v>26.625</v>
      </c>
      <c r="L148" s="151">
        <f t="shared" si="3"/>
        <v>4.125</v>
      </c>
      <c r="M148" s="151">
        <f t="shared" si="3"/>
        <v>0</v>
      </c>
      <c r="N148" s="152">
        <f t="shared" si="4"/>
        <v>619.125</v>
      </c>
      <c r="O148" s="116"/>
      <c r="P148" s="116"/>
      <c r="Q148" s="116"/>
    </row>
    <row r="149" spans="1:17" x14ac:dyDescent="0.25">
      <c r="A149" s="127" t="s">
        <v>393</v>
      </c>
      <c r="B149" s="150">
        <f t="shared" si="3"/>
        <v>0</v>
      </c>
      <c r="C149" s="151">
        <f t="shared" si="3"/>
        <v>0</v>
      </c>
      <c r="D149" s="151">
        <f t="shared" si="3"/>
        <v>2.25</v>
      </c>
      <c r="E149" s="151">
        <f t="shared" si="3"/>
        <v>33.375</v>
      </c>
      <c r="F149" s="151">
        <f t="shared" si="3"/>
        <v>104.625</v>
      </c>
      <c r="G149" s="151">
        <f t="shared" si="3"/>
        <v>102</v>
      </c>
      <c r="H149" s="151">
        <f t="shared" si="3"/>
        <v>99</v>
      </c>
      <c r="I149" s="151">
        <f t="shared" si="3"/>
        <v>137.625</v>
      </c>
      <c r="J149" s="151">
        <f t="shared" si="3"/>
        <v>125.25</v>
      </c>
      <c r="K149" s="151">
        <f t="shared" si="3"/>
        <v>100.125</v>
      </c>
      <c r="L149" s="151">
        <f t="shared" si="3"/>
        <v>30.75</v>
      </c>
      <c r="M149" s="151">
        <f t="shared" si="3"/>
        <v>0</v>
      </c>
      <c r="N149" s="152">
        <f t="shared" si="4"/>
        <v>735</v>
      </c>
      <c r="O149" s="116"/>
      <c r="P149" s="116"/>
      <c r="Q149" s="116"/>
    </row>
    <row r="150" spans="1:17" x14ac:dyDescent="0.25">
      <c r="A150" s="127" t="s">
        <v>394</v>
      </c>
      <c r="B150" s="150">
        <f t="shared" si="3"/>
        <v>0.375</v>
      </c>
      <c r="C150" s="151">
        <f t="shared" si="3"/>
        <v>3</v>
      </c>
      <c r="D150" s="151">
        <f t="shared" si="3"/>
        <v>12.375</v>
      </c>
      <c r="E150" s="151">
        <f t="shared" si="3"/>
        <v>52.125</v>
      </c>
      <c r="F150" s="151">
        <f t="shared" si="3"/>
        <v>129.75</v>
      </c>
      <c r="G150" s="151">
        <f t="shared" si="3"/>
        <v>175.875</v>
      </c>
      <c r="H150" s="151">
        <f t="shared" si="3"/>
        <v>165</v>
      </c>
      <c r="I150" s="151">
        <f t="shared" si="3"/>
        <v>189.75</v>
      </c>
      <c r="J150" s="151">
        <f t="shared" si="3"/>
        <v>172.5</v>
      </c>
      <c r="K150" s="151">
        <f t="shared" si="3"/>
        <v>181.125</v>
      </c>
      <c r="L150" s="151">
        <f t="shared" si="3"/>
        <v>81.75</v>
      </c>
      <c r="M150" s="151">
        <f t="shared" si="3"/>
        <v>12.75</v>
      </c>
      <c r="N150" s="152">
        <f t="shared" si="4"/>
        <v>1176.375</v>
      </c>
      <c r="O150" s="116"/>
      <c r="P150" s="116"/>
      <c r="Q150" s="116"/>
    </row>
    <row r="151" spans="1:17" x14ac:dyDescent="0.25">
      <c r="A151" s="127" t="s">
        <v>395</v>
      </c>
      <c r="B151" s="150">
        <f t="shared" si="3"/>
        <v>0</v>
      </c>
      <c r="C151" s="151">
        <f t="shared" si="3"/>
        <v>0</v>
      </c>
      <c r="D151" s="151">
        <f t="shared" si="3"/>
        <v>16.875</v>
      </c>
      <c r="E151" s="151">
        <f t="shared" si="3"/>
        <v>9</v>
      </c>
      <c r="F151" s="151">
        <f t="shared" si="3"/>
        <v>30</v>
      </c>
      <c r="G151" s="151">
        <f t="shared" si="3"/>
        <v>16.5</v>
      </c>
      <c r="H151" s="151">
        <f t="shared" si="3"/>
        <v>7.875</v>
      </c>
      <c r="I151" s="151">
        <f t="shared" si="3"/>
        <v>4.875</v>
      </c>
      <c r="J151" s="151">
        <f t="shared" si="3"/>
        <v>62.625</v>
      </c>
      <c r="K151" s="151">
        <f t="shared" si="3"/>
        <v>171</v>
      </c>
      <c r="L151" s="151">
        <f t="shared" si="3"/>
        <v>183</v>
      </c>
      <c r="M151" s="151">
        <f t="shared" si="3"/>
        <v>64.5</v>
      </c>
      <c r="N151" s="152">
        <f t="shared" si="4"/>
        <v>566.25</v>
      </c>
      <c r="O151" s="116"/>
      <c r="P151" s="116"/>
      <c r="Q151" s="116"/>
    </row>
    <row r="152" spans="1:17" x14ac:dyDescent="0.25">
      <c r="A152" s="127" t="s">
        <v>396</v>
      </c>
      <c r="B152" s="150">
        <f t="shared" si="3"/>
        <v>0</v>
      </c>
      <c r="C152" s="151">
        <f t="shared" si="3"/>
        <v>0</v>
      </c>
      <c r="D152" s="151">
        <f t="shared" si="3"/>
        <v>0</v>
      </c>
      <c r="E152" s="151">
        <f t="shared" si="3"/>
        <v>9</v>
      </c>
      <c r="F152" s="151">
        <f t="shared" si="3"/>
        <v>72.375</v>
      </c>
      <c r="G152" s="151">
        <f t="shared" si="3"/>
        <v>86.625</v>
      </c>
      <c r="H152" s="151">
        <f t="shared" si="3"/>
        <v>89.625</v>
      </c>
      <c r="I152" s="151">
        <f t="shared" si="3"/>
        <v>96.375</v>
      </c>
      <c r="J152" s="151">
        <f t="shared" si="3"/>
        <v>109.875</v>
      </c>
      <c r="K152" s="151">
        <f t="shared" si="3"/>
        <v>157.5</v>
      </c>
      <c r="L152" s="151">
        <f t="shared" si="3"/>
        <v>46.5</v>
      </c>
      <c r="M152" s="151">
        <f t="shared" si="3"/>
        <v>4.875</v>
      </c>
      <c r="N152" s="152">
        <f t="shared" si="4"/>
        <v>672.75</v>
      </c>
      <c r="O152" s="116"/>
      <c r="P152" s="116"/>
      <c r="Q152" s="116"/>
    </row>
    <row r="153" spans="1:17" x14ac:dyDescent="0.25">
      <c r="A153" s="127" t="s">
        <v>397</v>
      </c>
      <c r="B153" s="150">
        <f t="shared" si="3"/>
        <v>0</v>
      </c>
      <c r="C153" s="151">
        <f t="shared" si="3"/>
        <v>1.125</v>
      </c>
      <c r="D153" s="151">
        <f t="shared" si="3"/>
        <v>3.375</v>
      </c>
      <c r="E153" s="151">
        <f t="shared" si="3"/>
        <v>18.75</v>
      </c>
      <c r="F153" s="151">
        <f t="shared" si="3"/>
        <v>72.75</v>
      </c>
      <c r="G153" s="151">
        <f t="shared" si="3"/>
        <v>83.625</v>
      </c>
      <c r="H153" s="151">
        <f t="shared" si="3"/>
        <v>81.75</v>
      </c>
      <c r="I153" s="151">
        <f t="shared" si="3"/>
        <v>102.375</v>
      </c>
      <c r="J153" s="151">
        <f t="shared" si="3"/>
        <v>98.25</v>
      </c>
      <c r="K153" s="151">
        <f t="shared" si="3"/>
        <v>150.375</v>
      </c>
      <c r="L153" s="151">
        <f t="shared" si="3"/>
        <v>54.375</v>
      </c>
      <c r="M153" s="151">
        <f t="shared" si="3"/>
        <v>5.625</v>
      </c>
      <c r="N153" s="152">
        <f t="shared" si="4"/>
        <v>672.375</v>
      </c>
      <c r="O153" s="116"/>
      <c r="P153" s="116"/>
      <c r="Q153" s="116"/>
    </row>
    <row r="154" spans="1:17" x14ac:dyDescent="0.25">
      <c r="A154" s="127" t="s">
        <v>398</v>
      </c>
      <c r="B154" s="150">
        <f t="shared" si="3"/>
        <v>0</v>
      </c>
      <c r="C154" s="151">
        <f t="shared" si="3"/>
        <v>0</v>
      </c>
      <c r="D154" s="151">
        <f t="shared" si="3"/>
        <v>0</v>
      </c>
      <c r="E154" s="151">
        <f t="shared" si="3"/>
        <v>22.125</v>
      </c>
      <c r="F154" s="151">
        <f t="shared" si="3"/>
        <v>82.5</v>
      </c>
      <c r="G154" s="151">
        <f t="shared" si="3"/>
        <v>113.625</v>
      </c>
      <c r="H154" s="151">
        <f t="shared" si="3"/>
        <v>133.125</v>
      </c>
      <c r="I154" s="151">
        <f t="shared" si="3"/>
        <v>126.75</v>
      </c>
      <c r="J154" s="151">
        <f t="shared" si="3"/>
        <v>57</v>
      </c>
      <c r="K154" s="151">
        <f t="shared" si="3"/>
        <v>23.625</v>
      </c>
      <c r="L154" s="151">
        <f t="shared" si="3"/>
        <v>5.25</v>
      </c>
      <c r="M154" s="151">
        <f t="shared" si="3"/>
        <v>0</v>
      </c>
      <c r="N154" s="152">
        <f t="shared" si="4"/>
        <v>564</v>
      </c>
      <c r="O154" s="116"/>
      <c r="P154" s="116"/>
      <c r="Q154" s="116"/>
    </row>
    <row r="155" spans="1:17" x14ac:dyDescent="0.25">
      <c r="A155" s="127" t="s">
        <v>399</v>
      </c>
      <c r="B155" s="150">
        <f t="shared" si="3"/>
        <v>0.75</v>
      </c>
      <c r="C155" s="151">
        <f t="shared" si="3"/>
        <v>1.875</v>
      </c>
      <c r="D155" s="151">
        <f t="shared" si="3"/>
        <v>9</v>
      </c>
      <c r="E155" s="151">
        <f t="shared" si="3"/>
        <v>20.625</v>
      </c>
      <c r="F155" s="151">
        <f t="shared" si="3"/>
        <v>60</v>
      </c>
      <c r="G155" s="151">
        <f t="shared" si="3"/>
        <v>51.75</v>
      </c>
      <c r="H155" s="151">
        <f t="shared" si="3"/>
        <v>60</v>
      </c>
      <c r="I155" s="151">
        <f t="shared" si="3"/>
        <v>68.25</v>
      </c>
      <c r="J155" s="151">
        <f t="shared" si="3"/>
        <v>110.625</v>
      </c>
      <c r="K155" s="151">
        <f t="shared" si="3"/>
        <v>123</v>
      </c>
      <c r="L155" s="151">
        <f t="shared" si="3"/>
        <v>56.625</v>
      </c>
      <c r="M155" s="151">
        <f t="shared" si="3"/>
        <v>3.375</v>
      </c>
      <c r="N155" s="152">
        <f t="shared" si="4"/>
        <v>565.875</v>
      </c>
      <c r="O155" s="116"/>
      <c r="P155" s="116"/>
      <c r="Q155" s="116"/>
    </row>
    <row r="156" spans="1:17" x14ac:dyDescent="0.25">
      <c r="A156" s="127" t="s">
        <v>400</v>
      </c>
      <c r="B156" s="150">
        <f t="shared" si="3"/>
        <v>0</v>
      </c>
      <c r="C156" s="151">
        <f t="shared" si="3"/>
        <v>0</v>
      </c>
      <c r="D156" s="151">
        <f t="shared" si="3"/>
        <v>3.75</v>
      </c>
      <c r="E156" s="151">
        <f t="shared" si="3"/>
        <v>33.375</v>
      </c>
      <c r="F156" s="151">
        <f t="shared" si="3"/>
        <v>63</v>
      </c>
      <c r="G156" s="151">
        <f t="shared" si="3"/>
        <v>17.25</v>
      </c>
      <c r="H156" s="151">
        <f t="shared" si="3"/>
        <v>28.5</v>
      </c>
      <c r="I156" s="151">
        <f t="shared" si="3"/>
        <v>52.125</v>
      </c>
      <c r="J156" s="151">
        <f t="shared" si="3"/>
        <v>46.125</v>
      </c>
      <c r="K156" s="151">
        <f t="shared" si="3"/>
        <v>115.875</v>
      </c>
      <c r="L156" s="151">
        <f t="shared" si="3"/>
        <v>62.625</v>
      </c>
      <c r="M156" s="151">
        <f t="shared" si="3"/>
        <v>12.375</v>
      </c>
      <c r="N156" s="152">
        <f t="shared" si="4"/>
        <v>435</v>
      </c>
      <c r="O156" s="116"/>
      <c r="P156" s="116"/>
      <c r="Q156" s="116"/>
    </row>
    <row r="157" spans="1:17" x14ac:dyDescent="0.25">
      <c r="A157" s="127" t="s">
        <v>401</v>
      </c>
      <c r="B157" s="150">
        <f t="shared" si="3"/>
        <v>1.875</v>
      </c>
      <c r="C157" s="151">
        <f t="shared" si="3"/>
        <v>2.25</v>
      </c>
      <c r="D157" s="151">
        <f t="shared" si="3"/>
        <v>0.75</v>
      </c>
      <c r="E157" s="151">
        <f t="shared" si="3"/>
        <v>9</v>
      </c>
      <c r="F157" s="151">
        <f t="shared" si="3"/>
        <v>97.5</v>
      </c>
      <c r="G157" s="151">
        <f t="shared" si="3"/>
        <v>154.5</v>
      </c>
      <c r="H157" s="151">
        <f t="shared" si="3"/>
        <v>141.375</v>
      </c>
      <c r="I157" s="151">
        <f t="shared" si="3"/>
        <v>163.875</v>
      </c>
      <c r="J157" s="151">
        <f t="shared" si="3"/>
        <v>166.125</v>
      </c>
      <c r="K157" s="151">
        <f t="shared" si="3"/>
        <v>207.375</v>
      </c>
      <c r="L157" s="151">
        <f t="shared" si="3"/>
        <v>90.75</v>
      </c>
      <c r="M157" s="151">
        <f t="shared" si="3"/>
        <v>26.625</v>
      </c>
      <c r="N157" s="152">
        <f t="shared" si="4"/>
        <v>1062</v>
      </c>
      <c r="O157" s="116"/>
      <c r="P157" s="116"/>
      <c r="Q157" s="116"/>
    </row>
    <row r="158" spans="1:17" x14ac:dyDescent="0.25">
      <c r="A158" s="127" t="s">
        <v>402</v>
      </c>
      <c r="B158" s="150">
        <f t="shared" si="3"/>
        <v>0</v>
      </c>
      <c r="C158" s="151">
        <f t="shared" si="3"/>
        <v>0</v>
      </c>
      <c r="D158" s="151">
        <f t="shared" si="3"/>
        <v>0</v>
      </c>
      <c r="E158" s="151">
        <f t="shared" si="3"/>
        <v>30</v>
      </c>
      <c r="F158" s="151">
        <f t="shared" si="3"/>
        <v>96.75</v>
      </c>
      <c r="G158" s="151">
        <f t="shared" si="3"/>
        <v>174.75</v>
      </c>
      <c r="H158" s="151">
        <f t="shared" si="3"/>
        <v>220.875</v>
      </c>
      <c r="I158" s="151">
        <f t="shared" si="3"/>
        <v>333.75</v>
      </c>
      <c r="J158" s="151">
        <f t="shared" si="3"/>
        <v>210</v>
      </c>
      <c r="K158" s="151">
        <f t="shared" si="3"/>
        <v>93.75</v>
      </c>
      <c r="L158" s="151">
        <f t="shared" si="3"/>
        <v>19.875</v>
      </c>
      <c r="M158" s="151">
        <f t="shared" si="3"/>
        <v>0</v>
      </c>
      <c r="N158" s="152">
        <f t="shared" si="4"/>
        <v>1179.75</v>
      </c>
      <c r="O158" s="116"/>
      <c r="P158" s="116"/>
      <c r="Q158" s="116"/>
    </row>
    <row r="159" spans="1:17" x14ac:dyDescent="0.25">
      <c r="A159" s="127" t="s">
        <v>403</v>
      </c>
      <c r="B159" s="150">
        <f t="shared" si="3"/>
        <v>0</v>
      </c>
      <c r="C159" s="151">
        <f t="shared" si="3"/>
        <v>5.625</v>
      </c>
      <c r="D159" s="151">
        <f t="shared" si="3"/>
        <v>27</v>
      </c>
      <c r="E159" s="151">
        <f t="shared" si="3"/>
        <v>83.625</v>
      </c>
      <c r="F159" s="151">
        <f t="shared" si="3"/>
        <v>84.375</v>
      </c>
      <c r="G159" s="151">
        <f t="shared" si="3"/>
        <v>76.875</v>
      </c>
      <c r="H159" s="151">
        <f t="shared" si="3"/>
        <v>89.625</v>
      </c>
      <c r="I159" s="151">
        <f t="shared" si="3"/>
        <v>91.125</v>
      </c>
      <c r="J159" s="151">
        <f t="shared" si="3"/>
        <v>120.375</v>
      </c>
      <c r="K159" s="151">
        <f t="shared" si="3"/>
        <v>111.75</v>
      </c>
      <c r="L159" s="151">
        <f t="shared" si="3"/>
        <v>28.5</v>
      </c>
      <c r="M159" s="151">
        <f t="shared" si="3"/>
        <v>6</v>
      </c>
      <c r="N159" s="152">
        <f t="shared" si="4"/>
        <v>724.875</v>
      </c>
      <c r="O159" s="116"/>
      <c r="P159" s="116"/>
      <c r="Q159" s="116"/>
    </row>
    <row r="160" spans="1:17" x14ac:dyDescent="0.25">
      <c r="A160" s="127" t="s">
        <v>404</v>
      </c>
      <c r="B160" s="150">
        <f t="shared" si="3"/>
        <v>18.75</v>
      </c>
      <c r="C160" s="151">
        <f t="shared" si="3"/>
        <v>0</v>
      </c>
      <c r="D160" s="151">
        <f t="shared" si="3"/>
        <v>0</v>
      </c>
      <c r="E160" s="151">
        <f t="shared" si="3"/>
        <v>6</v>
      </c>
      <c r="F160" s="151">
        <f t="shared" si="3"/>
        <v>26.25</v>
      </c>
      <c r="G160" s="151">
        <f t="shared" si="3"/>
        <v>34.875</v>
      </c>
      <c r="H160" s="151">
        <f t="shared" si="3"/>
        <v>30.75</v>
      </c>
      <c r="I160" s="151">
        <f t="shared" si="3"/>
        <v>46.5</v>
      </c>
      <c r="J160" s="151">
        <f t="shared" si="3"/>
        <v>180</v>
      </c>
      <c r="K160" s="151">
        <f t="shared" si="3"/>
        <v>412.125</v>
      </c>
      <c r="L160" s="151">
        <f t="shared" si="3"/>
        <v>247.125</v>
      </c>
      <c r="M160" s="151">
        <f t="shared" si="3"/>
        <v>93.375</v>
      </c>
      <c r="N160" s="152">
        <f t="shared" si="4"/>
        <v>1095.75</v>
      </c>
      <c r="O160" s="116"/>
      <c r="P160" s="116"/>
      <c r="Q160" s="116"/>
    </row>
    <row r="161" spans="1:17" x14ac:dyDescent="0.25">
      <c r="A161" s="127" t="s">
        <v>405</v>
      </c>
      <c r="B161" s="150">
        <f t="shared" si="3"/>
        <v>0</v>
      </c>
      <c r="C161" s="151">
        <f t="shared" si="3"/>
        <v>8.25</v>
      </c>
      <c r="D161" s="151">
        <f t="shared" si="3"/>
        <v>19.5</v>
      </c>
      <c r="E161" s="151">
        <f t="shared" si="3"/>
        <v>36.75</v>
      </c>
      <c r="F161" s="151">
        <f t="shared" si="3"/>
        <v>76.125</v>
      </c>
      <c r="G161" s="151">
        <f t="shared" si="3"/>
        <v>129.375</v>
      </c>
      <c r="H161" s="151">
        <f t="shared" si="3"/>
        <v>148.5</v>
      </c>
      <c r="I161" s="151">
        <f t="shared" si="3"/>
        <v>154.875</v>
      </c>
      <c r="J161" s="151">
        <f t="shared" si="3"/>
        <v>63</v>
      </c>
      <c r="K161" s="151">
        <f t="shared" si="3"/>
        <v>16.125</v>
      </c>
      <c r="L161" s="151">
        <f t="shared" si="3"/>
        <v>2.625</v>
      </c>
      <c r="M161" s="151">
        <f t="shared" si="3"/>
        <v>1.875</v>
      </c>
      <c r="N161" s="152">
        <f t="shared" si="4"/>
        <v>657</v>
      </c>
      <c r="O161" s="116"/>
      <c r="P161" s="116"/>
      <c r="Q161" s="116"/>
    </row>
    <row r="162" spans="1:17" x14ac:dyDescent="0.25">
      <c r="A162" s="127" t="s">
        <v>406</v>
      </c>
      <c r="B162" s="150">
        <f t="shared" ref="B162:M177" si="5">IF(B21/B91&gt;5,(B21-B91*5)*0.75,0)</f>
        <v>0</v>
      </c>
      <c r="C162" s="151">
        <f t="shared" si="5"/>
        <v>0</v>
      </c>
      <c r="D162" s="151">
        <f t="shared" si="5"/>
        <v>0</v>
      </c>
      <c r="E162" s="151">
        <f t="shared" si="5"/>
        <v>8.25</v>
      </c>
      <c r="F162" s="151">
        <f t="shared" si="5"/>
        <v>52.875</v>
      </c>
      <c r="G162" s="151">
        <f t="shared" si="5"/>
        <v>35.625</v>
      </c>
      <c r="H162" s="151">
        <f t="shared" si="5"/>
        <v>27.75</v>
      </c>
      <c r="I162" s="151">
        <f t="shared" si="5"/>
        <v>90.375</v>
      </c>
      <c r="J162" s="151">
        <f t="shared" si="5"/>
        <v>229.875</v>
      </c>
      <c r="K162" s="151">
        <f t="shared" si="5"/>
        <v>418.875</v>
      </c>
      <c r="L162" s="151">
        <f t="shared" si="5"/>
        <v>222.375</v>
      </c>
      <c r="M162" s="151">
        <f t="shared" si="5"/>
        <v>64.875</v>
      </c>
      <c r="N162" s="152">
        <f t="shared" si="4"/>
        <v>1150.875</v>
      </c>
      <c r="O162" s="116"/>
      <c r="P162" s="116"/>
      <c r="Q162" s="116"/>
    </row>
    <row r="163" spans="1:17" x14ac:dyDescent="0.25">
      <c r="A163" s="127" t="s">
        <v>407</v>
      </c>
      <c r="B163" s="150">
        <f t="shared" si="5"/>
        <v>0</v>
      </c>
      <c r="C163" s="151">
        <f t="shared" si="5"/>
        <v>0</v>
      </c>
      <c r="D163" s="151">
        <f t="shared" si="5"/>
        <v>0</v>
      </c>
      <c r="E163" s="151">
        <f t="shared" si="5"/>
        <v>5.625</v>
      </c>
      <c r="F163" s="151">
        <f t="shared" si="5"/>
        <v>45.375</v>
      </c>
      <c r="G163" s="151">
        <f t="shared" si="5"/>
        <v>35.625</v>
      </c>
      <c r="H163" s="151">
        <f t="shared" si="5"/>
        <v>30</v>
      </c>
      <c r="I163" s="151">
        <f t="shared" si="5"/>
        <v>79.5</v>
      </c>
      <c r="J163" s="151">
        <f t="shared" si="5"/>
        <v>287.625</v>
      </c>
      <c r="K163" s="151">
        <f t="shared" si="5"/>
        <v>430.125</v>
      </c>
      <c r="L163" s="151">
        <f t="shared" si="5"/>
        <v>195</v>
      </c>
      <c r="M163" s="151">
        <f t="shared" si="5"/>
        <v>42.75</v>
      </c>
      <c r="N163" s="152">
        <f t="shared" si="4"/>
        <v>1151.625</v>
      </c>
      <c r="O163" s="116"/>
      <c r="P163" s="116"/>
      <c r="Q163" s="116"/>
    </row>
    <row r="164" spans="1:17" x14ac:dyDescent="0.25">
      <c r="A164" s="127" t="s">
        <v>408</v>
      </c>
      <c r="B164" s="150">
        <f t="shared" si="5"/>
        <v>0</v>
      </c>
      <c r="C164" s="151">
        <f t="shared" si="5"/>
        <v>0</v>
      </c>
      <c r="D164" s="151">
        <f t="shared" si="5"/>
        <v>0</v>
      </c>
      <c r="E164" s="151">
        <f t="shared" si="5"/>
        <v>15.375</v>
      </c>
      <c r="F164" s="151">
        <f t="shared" si="5"/>
        <v>80.25</v>
      </c>
      <c r="G164" s="151">
        <f t="shared" si="5"/>
        <v>126</v>
      </c>
      <c r="H164" s="151">
        <f t="shared" si="5"/>
        <v>115.875</v>
      </c>
      <c r="I164" s="151">
        <f t="shared" si="5"/>
        <v>145.125</v>
      </c>
      <c r="J164" s="151">
        <f t="shared" si="5"/>
        <v>125.25</v>
      </c>
      <c r="K164" s="151">
        <f t="shared" si="5"/>
        <v>104.625</v>
      </c>
      <c r="L164" s="151">
        <f t="shared" si="5"/>
        <v>41.25</v>
      </c>
      <c r="M164" s="151">
        <f t="shared" si="5"/>
        <v>9</v>
      </c>
      <c r="N164" s="152">
        <f t="shared" si="4"/>
        <v>762.75</v>
      </c>
      <c r="O164" s="116"/>
      <c r="P164" s="116"/>
      <c r="Q164" s="116"/>
    </row>
    <row r="165" spans="1:17" x14ac:dyDescent="0.25">
      <c r="A165" s="127" t="s">
        <v>409</v>
      </c>
      <c r="B165" s="150">
        <f t="shared" si="5"/>
        <v>0</v>
      </c>
      <c r="C165" s="151">
        <f t="shared" si="5"/>
        <v>0</v>
      </c>
      <c r="D165" s="151">
        <f t="shared" si="5"/>
        <v>0.375</v>
      </c>
      <c r="E165" s="151">
        <f t="shared" si="5"/>
        <v>24.75</v>
      </c>
      <c r="F165" s="151">
        <f t="shared" si="5"/>
        <v>164.25</v>
      </c>
      <c r="G165" s="151">
        <f t="shared" si="5"/>
        <v>257.25</v>
      </c>
      <c r="H165" s="151">
        <f t="shared" si="5"/>
        <v>299.25</v>
      </c>
      <c r="I165" s="151">
        <f t="shared" si="5"/>
        <v>225.375</v>
      </c>
      <c r="J165" s="151">
        <f t="shared" si="5"/>
        <v>127.875</v>
      </c>
      <c r="K165" s="151">
        <f t="shared" si="5"/>
        <v>75.375</v>
      </c>
      <c r="L165" s="151">
        <f t="shared" si="5"/>
        <v>30.75</v>
      </c>
      <c r="M165" s="151">
        <f t="shared" si="5"/>
        <v>0</v>
      </c>
      <c r="N165" s="152">
        <f t="shared" si="4"/>
        <v>1205.25</v>
      </c>
      <c r="O165" s="116"/>
      <c r="P165" s="116"/>
      <c r="Q165" s="116"/>
    </row>
    <row r="166" spans="1:17" x14ac:dyDescent="0.25">
      <c r="A166" s="127" t="s">
        <v>410</v>
      </c>
      <c r="B166" s="150">
        <f t="shared" si="5"/>
        <v>0</v>
      </c>
      <c r="C166" s="151">
        <f t="shared" si="5"/>
        <v>0</v>
      </c>
      <c r="D166" s="151">
        <f t="shared" si="5"/>
        <v>0</v>
      </c>
      <c r="E166" s="151">
        <f t="shared" si="5"/>
        <v>24.75</v>
      </c>
      <c r="F166" s="151">
        <f t="shared" si="5"/>
        <v>69.375</v>
      </c>
      <c r="G166" s="151">
        <f t="shared" si="5"/>
        <v>144.75</v>
      </c>
      <c r="H166" s="151">
        <f t="shared" si="5"/>
        <v>131.25</v>
      </c>
      <c r="I166" s="151">
        <f t="shared" si="5"/>
        <v>142.125</v>
      </c>
      <c r="J166" s="151">
        <f t="shared" si="5"/>
        <v>131.25</v>
      </c>
      <c r="K166" s="151">
        <f t="shared" si="5"/>
        <v>76.125</v>
      </c>
      <c r="L166" s="151">
        <f t="shared" si="5"/>
        <v>14.625</v>
      </c>
      <c r="M166" s="151">
        <f t="shared" si="5"/>
        <v>0</v>
      </c>
      <c r="N166" s="152">
        <f t="shared" si="4"/>
        <v>734.25</v>
      </c>
      <c r="O166" s="116"/>
      <c r="P166" s="116"/>
      <c r="Q166" s="116"/>
    </row>
    <row r="167" spans="1:17" x14ac:dyDescent="0.25">
      <c r="A167" s="127" t="s">
        <v>411</v>
      </c>
      <c r="B167" s="150">
        <f t="shared" si="5"/>
        <v>18</v>
      </c>
      <c r="C167" s="151">
        <f t="shared" si="5"/>
        <v>0</v>
      </c>
      <c r="D167" s="151">
        <f t="shared" si="5"/>
        <v>0</v>
      </c>
      <c r="E167" s="151">
        <f t="shared" si="5"/>
        <v>13.125</v>
      </c>
      <c r="F167" s="151">
        <f t="shared" si="5"/>
        <v>65.625</v>
      </c>
      <c r="G167" s="151">
        <f t="shared" si="5"/>
        <v>74.625</v>
      </c>
      <c r="H167" s="151">
        <f t="shared" si="5"/>
        <v>57</v>
      </c>
      <c r="I167" s="151">
        <f t="shared" si="5"/>
        <v>125.625</v>
      </c>
      <c r="J167" s="151">
        <f t="shared" si="5"/>
        <v>343.125</v>
      </c>
      <c r="K167" s="151">
        <f t="shared" si="5"/>
        <v>504.75</v>
      </c>
      <c r="L167" s="151">
        <f t="shared" si="5"/>
        <v>177.75</v>
      </c>
      <c r="M167" s="151">
        <f t="shared" si="5"/>
        <v>70.5</v>
      </c>
      <c r="N167" s="152">
        <f t="shared" si="4"/>
        <v>1450.125</v>
      </c>
      <c r="O167" s="116"/>
      <c r="P167" s="116"/>
      <c r="Q167" s="116"/>
    </row>
    <row r="168" spans="1:17" x14ac:dyDescent="0.25">
      <c r="A168" s="127" t="s">
        <v>412</v>
      </c>
      <c r="B168" s="150">
        <f t="shared" si="5"/>
        <v>0</v>
      </c>
      <c r="C168" s="151">
        <f t="shared" si="5"/>
        <v>0</v>
      </c>
      <c r="D168" s="151">
        <f t="shared" si="5"/>
        <v>0</v>
      </c>
      <c r="E168" s="151">
        <f t="shared" si="5"/>
        <v>19.875</v>
      </c>
      <c r="F168" s="151">
        <f t="shared" si="5"/>
        <v>77.25</v>
      </c>
      <c r="G168" s="151">
        <f t="shared" si="5"/>
        <v>123.375</v>
      </c>
      <c r="H168" s="151">
        <f t="shared" si="5"/>
        <v>123.75</v>
      </c>
      <c r="I168" s="151">
        <f t="shared" si="5"/>
        <v>145.125</v>
      </c>
      <c r="J168" s="151">
        <f t="shared" si="5"/>
        <v>108.375</v>
      </c>
      <c r="K168" s="151">
        <f t="shared" si="5"/>
        <v>68.625</v>
      </c>
      <c r="L168" s="151">
        <f t="shared" si="5"/>
        <v>11.25</v>
      </c>
      <c r="M168" s="151">
        <f t="shared" si="5"/>
        <v>0</v>
      </c>
      <c r="N168" s="152">
        <f t="shared" si="4"/>
        <v>677.625</v>
      </c>
      <c r="O168" s="116"/>
      <c r="P168" s="116"/>
      <c r="Q168" s="116"/>
    </row>
    <row r="169" spans="1:17" x14ac:dyDescent="0.25">
      <c r="A169" s="127" t="s">
        <v>413</v>
      </c>
      <c r="B169" s="150">
        <f t="shared" si="5"/>
        <v>0</v>
      </c>
      <c r="C169" s="151">
        <f t="shared" si="5"/>
        <v>0</v>
      </c>
      <c r="D169" s="151">
        <f t="shared" si="5"/>
        <v>0</v>
      </c>
      <c r="E169" s="151">
        <f t="shared" si="5"/>
        <v>23.25</v>
      </c>
      <c r="F169" s="151">
        <f t="shared" si="5"/>
        <v>114</v>
      </c>
      <c r="G169" s="151">
        <f t="shared" si="5"/>
        <v>139.125</v>
      </c>
      <c r="H169" s="151">
        <f t="shared" si="5"/>
        <v>150.375</v>
      </c>
      <c r="I169" s="151">
        <f t="shared" si="5"/>
        <v>174</v>
      </c>
      <c r="J169" s="151">
        <f t="shared" si="5"/>
        <v>169.5</v>
      </c>
      <c r="K169" s="151">
        <f t="shared" si="5"/>
        <v>102</v>
      </c>
      <c r="L169" s="151">
        <f t="shared" si="5"/>
        <v>19.125</v>
      </c>
      <c r="M169" s="151">
        <f t="shared" si="5"/>
        <v>0</v>
      </c>
      <c r="N169" s="152">
        <f t="shared" si="4"/>
        <v>891.375</v>
      </c>
      <c r="O169" s="116"/>
      <c r="P169" s="116"/>
      <c r="Q169" s="116"/>
    </row>
    <row r="170" spans="1:17" x14ac:dyDescent="0.25">
      <c r="A170" s="127" t="s">
        <v>414</v>
      </c>
      <c r="B170" s="150">
        <f t="shared" si="5"/>
        <v>0</v>
      </c>
      <c r="C170" s="151">
        <f t="shared" si="5"/>
        <v>0</v>
      </c>
      <c r="D170" s="151">
        <f t="shared" si="5"/>
        <v>0</v>
      </c>
      <c r="E170" s="151">
        <f t="shared" si="5"/>
        <v>24</v>
      </c>
      <c r="F170" s="151">
        <f t="shared" si="5"/>
        <v>30.375</v>
      </c>
      <c r="G170" s="151">
        <f t="shared" si="5"/>
        <v>61.125</v>
      </c>
      <c r="H170" s="151">
        <f t="shared" si="5"/>
        <v>139.5</v>
      </c>
      <c r="I170" s="151">
        <f t="shared" si="5"/>
        <v>87.75</v>
      </c>
      <c r="J170" s="151">
        <f t="shared" si="5"/>
        <v>119.25</v>
      </c>
      <c r="K170" s="151">
        <f t="shared" si="5"/>
        <v>130.875</v>
      </c>
      <c r="L170" s="151">
        <f t="shared" si="5"/>
        <v>61.5</v>
      </c>
      <c r="M170" s="151">
        <f t="shared" si="5"/>
        <v>0</v>
      </c>
      <c r="N170" s="152">
        <f t="shared" si="4"/>
        <v>654.375</v>
      </c>
      <c r="O170" s="116"/>
      <c r="P170" s="116"/>
      <c r="Q170" s="116"/>
    </row>
    <row r="171" spans="1:17" x14ac:dyDescent="0.25">
      <c r="A171" s="127" t="s">
        <v>415</v>
      </c>
      <c r="B171" s="150">
        <f t="shared" si="5"/>
        <v>0</v>
      </c>
      <c r="C171" s="151">
        <f t="shared" si="5"/>
        <v>0</v>
      </c>
      <c r="D171" s="151">
        <f t="shared" si="5"/>
        <v>0</v>
      </c>
      <c r="E171" s="151">
        <f t="shared" si="5"/>
        <v>24.75</v>
      </c>
      <c r="F171" s="151">
        <f t="shared" si="5"/>
        <v>84.75</v>
      </c>
      <c r="G171" s="151">
        <f t="shared" si="5"/>
        <v>165.75</v>
      </c>
      <c r="H171" s="151">
        <f t="shared" si="5"/>
        <v>186.75</v>
      </c>
      <c r="I171" s="151">
        <f t="shared" si="5"/>
        <v>264</v>
      </c>
      <c r="J171" s="151">
        <f t="shared" si="5"/>
        <v>158.625</v>
      </c>
      <c r="K171" s="151">
        <f t="shared" si="5"/>
        <v>81.375</v>
      </c>
      <c r="L171" s="151">
        <f t="shared" si="5"/>
        <v>6.375</v>
      </c>
      <c r="M171" s="151">
        <f t="shared" si="5"/>
        <v>0</v>
      </c>
      <c r="N171" s="152">
        <f t="shared" si="4"/>
        <v>972.375</v>
      </c>
      <c r="O171" s="116"/>
      <c r="P171" s="116"/>
      <c r="Q171" s="116"/>
    </row>
    <row r="172" spans="1:17" x14ac:dyDescent="0.25">
      <c r="A172" s="127" t="s">
        <v>416</v>
      </c>
      <c r="B172" s="150">
        <f t="shared" si="5"/>
        <v>40.5</v>
      </c>
      <c r="C172" s="151">
        <f t="shared" si="5"/>
        <v>4.125</v>
      </c>
      <c r="D172" s="151">
        <f t="shared" si="5"/>
        <v>0</v>
      </c>
      <c r="E172" s="151">
        <f t="shared" si="5"/>
        <v>3.375</v>
      </c>
      <c r="F172" s="151">
        <f t="shared" si="5"/>
        <v>27.75</v>
      </c>
      <c r="G172" s="151">
        <f t="shared" si="5"/>
        <v>46.125</v>
      </c>
      <c r="H172" s="151">
        <f t="shared" si="5"/>
        <v>38.25</v>
      </c>
      <c r="I172" s="151">
        <f t="shared" si="5"/>
        <v>46.5</v>
      </c>
      <c r="J172" s="151">
        <f t="shared" si="5"/>
        <v>233.25</v>
      </c>
      <c r="K172" s="151">
        <f t="shared" si="5"/>
        <v>489.75</v>
      </c>
      <c r="L172" s="151">
        <f t="shared" si="5"/>
        <v>385.125</v>
      </c>
      <c r="M172" s="151">
        <f t="shared" si="5"/>
        <v>159.375</v>
      </c>
      <c r="N172" s="152">
        <f t="shared" si="4"/>
        <v>1474.125</v>
      </c>
      <c r="O172" s="116"/>
      <c r="P172" s="116"/>
      <c r="Q172" s="116"/>
    </row>
    <row r="173" spans="1:17" x14ac:dyDescent="0.25">
      <c r="A173" s="127" t="s">
        <v>417</v>
      </c>
      <c r="B173" s="150">
        <f t="shared" si="5"/>
        <v>0</v>
      </c>
      <c r="C173" s="151">
        <f t="shared" si="5"/>
        <v>0</v>
      </c>
      <c r="D173" s="151">
        <f t="shared" si="5"/>
        <v>0</v>
      </c>
      <c r="E173" s="151">
        <f t="shared" si="5"/>
        <v>17.25</v>
      </c>
      <c r="F173" s="151">
        <f t="shared" si="5"/>
        <v>79.875</v>
      </c>
      <c r="G173" s="151">
        <f t="shared" si="5"/>
        <v>118.5</v>
      </c>
      <c r="H173" s="151">
        <f t="shared" si="5"/>
        <v>115.125</v>
      </c>
      <c r="I173" s="151">
        <f t="shared" si="5"/>
        <v>156.375</v>
      </c>
      <c r="J173" s="151">
        <f t="shared" si="5"/>
        <v>144.375</v>
      </c>
      <c r="K173" s="151">
        <f t="shared" si="5"/>
        <v>98.25</v>
      </c>
      <c r="L173" s="151">
        <f t="shared" si="5"/>
        <v>28.875</v>
      </c>
      <c r="M173" s="151">
        <f t="shared" si="5"/>
        <v>0</v>
      </c>
      <c r="N173" s="152">
        <f t="shared" si="4"/>
        <v>758.625</v>
      </c>
      <c r="O173" s="116"/>
      <c r="P173" s="116"/>
      <c r="Q173" s="116"/>
    </row>
    <row r="174" spans="1:17" x14ac:dyDescent="0.25">
      <c r="A174" s="127" t="s">
        <v>418</v>
      </c>
      <c r="B174" s="150">
        <f t="shared" si="5"/>
        <v>0</v>
      </c>
      <c r="C174" s="151">
        <f t="shared" si="5"/>
        <v>3</v>
      </c>
      <c r="D174" s="151">
        <f t="shared" si="5"/>
        <v>6</v>
      </c>
      <c r="E174" s="151">
        <f t="shared" si="5"/>
        <v>33</v>
      </c>
      <c r="F174" s="151">
        <f t="shared" si="5"/>
        <v>95.625</v>
      </c>
      <c r="G174" s="151">
        <f t="shared" si="5"/>
        <v>114.75</v>
      </c>
      <c r="H174" s="151">
        <f t="shared" si="5"/>
        <v>130.5</v>
      </c>
      <c r="I174" s="151">
        <f t="shared" si="5"/>
        <v>147</v>
      </c>
      <c r="J174" s="151">
        <f t="shared" si="5"/>
        <v>136.125</v>
      </c>
      <c r="K174" s="151">
        <f t="shared" si="5"/>
        <v>79.875</v>
      </c>
      <c r="L174" s="151">
        <f t="shared" si="5"/>
        <v>24</v>
      </c>
      <c r="M174" s="151">
        <f t="shared" si="5"/>
        <v>2.25</v>
      </c>
      <c r="N174" s="152">
        <f t="shared" si="4"/>
        <v>772.125</v>
      </c>
      <c r="O174" s="116"/>
      <c r="P174" s="116"/>
      <c r="Q174" s="116"/>
    </row>
    <row r="175" spans="1:17" x14ac:dyDescent="0.25">
      <c r="A175" s="127" t="s">
        <v>419</v>
      </c>
      <c r="B175" s="150">
        <f t="shared" si="5"/>
        <v>0</v>
      </c>
      <c r="C175" s="151">
        <f t="shared" si="5"/>
        <v>7.875</v>
      </c>
      <c r="D175" s="151">
        <f t="shared" si="5"/>
        <v>17.25</v>
      </c>
      <c r="E175" s="151">
        <f t="shared" si="5"/>
        <v>51.75</v>
      </c>
      <c r="F175" s="151">
        <f t="shared" si="5"/>
        <v>120.375</v>
      </c>
      <c r="G175" s="151">
        <f t="shared" si="5"/>
        <v>239.25</v>
      </c>
      <c r="H175" s="151">
        <f t="shared" si="5"/>
        <v>253.5</v>
      </c>
      <c r="I175" s="151">
        <f t="shared" si="5"/>
        <v>196.5</v>
      </c>
      <c r="J175" s="151">
        <f t="shared" si="5"/>
        <v>60.75</v>
      </c>
      <c r="K175" s="151">
        <f t="shared" si="5"/>
        <v>30.375</v>
      </c>
      <c r="L175" s="151">
        <f t="shared" si="5"/>
        <v>12.75</v>
      </c>
      <c r="M175" s="151">
        <f t="shared" si="5"/>
        <v>0</v>
      </c>
      <c r="N175" s="152">
        <f t="shared" si="4"/>
        <v>990.375</v>
      </c>
      <c r="O175" s="116"/>
      <c r="P175" s="116"/>
      <c r="Q175" s="116"/>
    </row>
    <row r="176" spans="1:17" x14ac:dyDescent="0.25">
      <c r="A176" s="127" t="s">
        <v>420</v>
      </c>
      <c r="B176" s="150">
        <f t="shared" si="5"/>
        <v>0</v>
      </c>
      <c r="C176" s="151">
        <f t="shared" si="5"/>
        <v>0</v>
      </c>
      <c r="D176" s="151">
        <f t="shared" si="5"/>
        <v>0</v>
      </c>
      <c r="E176" s="151">
        <f t="shared" si="5"/>
        <v>23.625</v>
      </c>
      <c r="F176" s="151">
        <f t="shared" si="5"/>
        <v>74.625</v>
      </c>
      <c r="G176" s="151">
        <f t="shared" si="5"/>
        <v>84</v>
      </c>
      <c r="H176" s="151">
        <f t="shared" si="5"/>
        <v>110.25</v>
      </c>
      <c r="I176" s="151">
        <f t="shared" si="5"/>
        <v>110.25</v>
      </c>
      <c r="J176" s="151">
        <f t="shared" si="5"/>
        <v>49.875</v>
      </c>
      <c r="K176" s="151">
        <f t="shared" si="5"/>
        <v>26.25</v>
      </c>
      <c r="L176" s="151">
        <f t="shared" si="5"/>
        <v>3</v>
      </c>
      <c r="M176" s="151">
        <f t="shared" si="5"/>
        <v>0</v>
      </c>
      <c r="N176" s="152">
        <f t="shared" si="4"/>
        <v>481.875</v>
      </c>
      <c r="O176" s="116"/>
      <c r="P176" s="116"/>
      <c r="Q176" s="116"/>
    </row>
    <row r="177" spans="1:17" x14ac:dyDescent="0.25">
      <c r="A177" s="127" t="s">
        <v>421</v>
      </c>
      <c r="B177" s="150">
        <f t="shared" si="5"/>
        <v>0</v>
      </c>
      <c r="C177" s="151">
        <f t="shared" si="5"/>
        <v>0</v>
      </c>
      <c r="D177" s="151">
        <f t="shared" si="5"/>
        <v>0.375</v>
      </c>
      <c r="E177" s="151">
        <f t="shared" si="5"/>
        <v>37.5</v>
      </c>
      <c r="F177" s="151">
        <f t="shared" si="5"/>
        <v>65.25</v>
      </c>
      <c r="G177" s="151">
        <f t="shared" si="5"/>
        <v>109.125</v>
      </c>
      <c r="H177" s="151">
        <f t="shared" si="5"/>
        <v>148.125</v>
      </c>
      <c r="I177" s="151">
        <f t="shared" si="5"/>
        <v>187.125</v>
      </c>
      <c r="J177" s="151">
        <f t="shared" si="5"/>
        <v>107.25</v>
      </c>
      <c r="K177" s="151">
        <f t="shared" si="5"/>
        <v>59.25</v>
      </c>
      <c r="L177" s="151">
        <f t="shared" si="5"/>
        <v>2.25</v>
      </c>
      <c r="M177" s="151">
        <f t="shared" si="5"/>
        <v>0</v>
      </c>
      <c r="N177" s="152">
        <f t="shared" si="4"/>
        <v>716.25</v>
      </c>
      <c r="O177" s="116"/>
      <c r="P177" s="116"/>
      <c r="Q177" s="116"/>
    </row>
    <row r="178" spans="1:17" x14ac:dyDescent="0.25">
      <c r="A178" s="127" t="s">
        <v>422</v>
      </c>
      <c r="B178" s="150">
        <f t="shared" ref="B178:M193" si="6">IF(B37/B107&gt;5,(B37-B107*5)*0.75,0)</f>
        <v>1.5</v>
      </c>
      <c r="C178" s="151">
        <f t="shared" si="6"/>
        <v>1.5</v>
      </c>
      <c r="D178" s="151">
        <f t="shared" si="6"/>
        <v>1.5</v>
      </c>
      <c r="E178" s="151">
        <f t="shared" si="6"/>
        <v>19.5</v>
      </c>
      <c r="F178" s="151">
        <f t="shared" si="6"/>
        <v>77.625</v>
      </c>
      <c r="G178" s="151">
        <f t="shared" si="6"/>
        <v>60.375</v>
      </c>
      <c r="H178" s="151">
        <f t="shared" si="6"/>
        <v>61.125</v>
      </c>
      <c r="I178" s="151">
        <f t="shared" si="6"/>
        <v>61.875</v>
      </c>
      <c r="J178" s="151">
        <f t="shared" si="6"/>
        <v>113.25</v>
      </c>
      <c r="K178" s="151">
        <f t="shared" si="6"/>
        <v>158.625</v>
      </c>
      <c r="L178" s="151">
        <f t="shared" si="6"/>
        <v>66</v>
      </c>
      <c r="M178" s="151">
        <f t="shared" si="6"/>
        <v>11.25</v>
      </c>
      <c r="N178" s="152">
        <f t="shared" si="4"/>
        <v>634.125</v>
      </c>
      <c r="O178" s="116"/>
      <c r="P178" s="116"/>
      <c r="Q178" s="116"/>
    </row>
    <row r="179" spans="1:17" x14ac:dyDescent="0.25">
      <c r="A179" s="127" t="s">
        <v>423</v>
      </c>
      <c r="B179" s="150">
        <f t="shared" si="6"/>
        <v>0</v>
      </c>
      <c r="C179" s="151">
        <f t="shared" si="6"/>
        <v>0</v>
      </c>
      <c r="D179" s="151">
        <f t="shared" si="6"/>
        <v>0.75</v>
      </c>
      <c r="E179" s="151">
        <f t="shared" si="6"/>
        <v>14.25</v>
      </c>
      <c r="F179" s="151">
        <f t="shared" si="6"/>
        <v>55.125</v>
      </c>
      <c r="G179" s="151">
        <f t="shared" si="6"/>
        <v>81.75</v>
      </c>
      <c r="H179" s="151">
        <f t="shared" si="6"/>
        <v>59.625</v>
      </c>
      <c r="I179" s="151">
        <f t="shared" si="6"/>
        <v>68.25</v>
      </c>
      <c r="J179" s="151">
        <f t="shared" si="6"/>
        <v>97.125</v>
      </c>
      <c r="K179" s="151">
        <f t="shared" si="6"/>
        <v>124.5</v>
      </c>
      <c r="L179" s="151">
        <f t="shared" si="6"/>
        <v>31.125</v>
      </c>
      <c r="M179" s="151">
        <f t="shared" si="6"/>
        <v>4.5</v>
      </c>
      <c r="N179" s="152">
        <f t="shared" si="4"/>
        <v>537</v>
      </c>
      <c r="O179" s="116"/>
      <c r="P179" s="116"/>
      <c r="Q179" s="116"/>
    </row>
    <row r="180" spans="1:17" x14ac:dyDescent="0.25">
      <c r="A180" s="127" t="s">
        <v>424</v>
      </c>
      <c r="B180" s="150">
        <f t="shared" si="6"/>
        <v>0</v>
      </c>
      <c r="C180" s="151">
        <f t="shared" si="6"/>
        <v>0</v>
      </c>
      <c r="D180" s="151">
        <f t="shared" si="6"/>
        <v>0</v>
      </c>
      <c r="E180" s="151">
        <f t="shared" si="6"/>
        <v>19.5</v>
      </c>
      <c r="F180" s="151">
        <f t="shared" si="6"/>
        <v>87.375</v>
      </c>
      <c r="G180" s="151">
        <f t="shared" si="6"/>
        <v>106.125</v>
      </c>
      <c r="H180" s="151">
        <f t="shared" si="6"/>
        <v>126</v>
      </c>
      <c r="I180" s="151">
        <f t="shared" si="6"/>
        <v>164.25</v>
      </c>
      <c r="J180" s="151">
        <f t="shared" si="6"/>
        <v>187.875</v>
      </c>
      <c r="K180" s="151">
        <f t="shared" si="6"/>
        <v>124.875</v>
      </c>
      <c r="L180" s="151">
        <f t="shared" si="6"/>
        <v>19.875</v>
      </c>
      <c r="M180" s="151">
        <f t="shared" si="6"/>
        <v>0</v>
      </c>
      <c r="N180" s="152">
        <f t="shared" si="4"/>
        <v>835.875</v>
      </c>
      <c r="O180" s="116"/>
      <c r="P180" s="116"/>
      <c r="Q180" s="116"/>
    </row>
    <row r="181" spans="1:17" x14ac:dyDescent="0.25">
      <c r="A181" s="127" t="s">
        <v>425</v>
      </c>
      <c r="B181" s="150">
        <f t="shared" si="6"/>
        <v>0</v>
      </c>
      <c r="C181" s="151">
        <f t="shared" si="6"/>
        <v>0</v>
      </c>
      <c r="D181" s="151">
        <f t="shared" si="6"/>
        <v>10.875</v>
      </c>
      <c r="E181" s="151">
        <f t="shared" si="6"/>
        <v>10.125</v>
      </c>
      <c r="F181" s="151">
        <f t="shared" si="6"/>
        <v>20.625</v>
      </c>
      <c r="G181" s="151">
        <f t="shared" si="6"/>
        <v>9.75</v>
      </c>
      <c r="H181" s="151">
        <f t="shared" si="6"/>
        <v>0</v>
      </c>
      <c r="I181" s="151">
        <f t="shared" si="6"/>
        <v>1.5</v>
      </c>
      <c r="J181" s="151">
        <f t="shared" si="6"/>
        <v>62.25</v>
      </c>
      <c r="K181" s="151">
        <f t="shared" si="6"/>
        <v>160.125</v>
      </c>
      <c r="L181" s="151">
        <f t="shared" si="6"/>
        <v>183</v>
      </c>
      <c r="M181" s="151">
        <f t="shared" si="6"/>
        <v>62.25</v>
      </c>
      <c r="N181" s="152">
        <f t="shared" si="4"/>
        <v>520.5</v>
      </c>
      <c r="O181" s="116"/>
      <c r="P181" s="116"/>
      <c r="Q181" s="116"/>
    </row>
    <row r="182" spans="1:17" x14ac:dyDescent="0.25">
      <c r="A182" s="127" t="s">
        <v>426</v>
      </c>
      <c r="B182" s="150">
        <f t="shared" si="6"/>
        <v>0</v>
      </c>
      <c r="C182" s="151">
        <f t="shared" si="6"/>
        <v>0</v>
      </c>
      <c r="D182" s="151">
        <f t="shared" si="6"/>
        <v>0</v>
      </c>
      <c r="E182" s="151">
        <f t="shared" si="6"/>
        <v>10.125</v>
      </c>
      <c r="F182" s="151">
        <f t="shared" si="6"/>
        <v>76.5</v>
      </c>
      <c r="G182" s="151">
        <f t="shared" si="6"/>
        <v>122.25</v>
      </c>
      <c r="H182" s="151">
        <f t="shared" si="6"/>
        <v>119.625</v>
      </c>
      <c r="I182" s="151">
        <f t="shared" si="6"/>
        <v>179.25</v>
      </c>
      <c r="J182" s="151">
        <f t="shared" si="6"/>
        <v>220.125</v>
      </c>
      <c r="K182" s="151">
        <f t="shared" si="6"/>
        <v>137.625</v>
      </c>
      <c r="L182" s="151">
        <f t="shared" si="6"/>
        <v>21.375</v>
      </c>
      <c r="M182" s="151">
        <f t="shared" si="6"/>
        <v>1.125</v>
      </c>
      <c r="N182" s="152">
        <f t="shared" si="4"/>
        <v>888</v>
      </c>
      <c r="O182" s="116"/>
      <c r="P182" s="116"/>
      <c r="Q182" s="116"/>
    </row>
    <row r="183" spans="1:17" x14ac:dyDescent="0.25">
      <c r="A183" s="127" t="s">
        <v>427</v>
      </c>
      <c r="B183" s="150">
        <f t="shared" si="6"/>
        <v>0</v>
      </c>
      <c r="C183" s="151">
        <f t="shared" si="6"/>
        <v>0</v>
      </c>
      <c r="D183" s="151">
        <f t="shared" si="6"/>
        <v>1.875</v>
      </c>
      <c r="E183" s="151">
        <f t="shared" si="6"/>
        <v>9.375</v>
      </c>
      <c r="F183" s="151">
        <f t="shared" si="6"/>
        <v>54.375</v>
      </c>
      <c r="G183" s="151">
        <f t="shared" si="6"/>
        <v>47.25</v>
      </c>
      <c r="H183" s="151">
        <f t="shared" si="6"/>
        <v>62.625</v>
      </c>
      <c r="I183" s="151">
        <f t="shared" si="6"/>
        <v>54</v>
      </c>
      <c r="J183" s="151">
        <f t="shared" si="6"/>
        <v>79.5</v>
      </c>
      <c r="K183" s="151">
        <f t="shared" si="6"/>
        <v>65.625</v>
      </c>
      <c r="L183" s="151">
        <f t="shared" si="6"/>
        <v>17.25</v>
      </c>
      <c r="M183" s="151">
        <f t="shared" si="6"/>
        <v>3.375</v>
      </c>
      <c r="N183" s="152">
        <f t="shared" si="4"/>
        <v>395.25</v>
      </c>
      <c r="O183" s="116"/>
      <c r="P183" s="116"/>
      <c r="Q183" s="116"/>
    </row>
    <row r="184" spans="1:17" x14ac:dyDescent="0.25">
      <c r="A184" s="127" t="s">
        <v>428</v>
      </c>
      <c r="B184" s="150">
        <f t="shared" si="6"/>
        <v>0</v>
      </c>
      <c r="C184" s="151">
        <f t="shared" si="6"/>
        <v>0</v>
      </c>
      <c r="D184" s="151">
        <f t="shared" si="6"/>
        <v>0</v>
      </c>
      <c r="E184" s="151">
        <f t="shared" si="6"/>
        <v>17.625</v>
      </c>
      <c r="F184" s="151">
        <f t="shared" si="6"/>
        <v>105.375</v>
      </c>
      <c r="G184" s="151">
        <f t="shared" si="6"/>
        <v>130.5</v>
      </c>
      <c r="H184" s="151">
        <f t="shared" si="6"/>
        <v>118.875</v>
      </c>
      <c r="I184" s="151">
        <f t="shared" si="6"/>
        <v>204</v>
      </c>
      <c r="J184" s="151">
        <f t="shared" si="6"/>
        <v>138</v>
      </c>
      <c r="K184" s="151">
        <f t="shared" si="6"/>
        <v>76.5</v>
      </c>
      <c r="L184" s="151">
        <f t="shared" si="6"/>
        <v>5.625</v>
      </c>
      <c r="M184" s="151">
        <f t="shared" si="6"/>
        <v>0</v>
      </c>
      <c r="N184" s="152">
        <f t="shared" si="4"/>
        <v>796.5</v>
      </c>
      <c r="O184" s="116"/>
      <c r="P184" s="116"/>
      <c r="Q184" s="116"/>
    </row>
    <row r="185" spans="1:17" x14ac:dyDescent="0.25">
      <c r="A185" s="127" t="s">
        <v>429</v>
      </c>
      <c r="B185" s="150">
        <f t="shared" si="6"/>
        <v>5.625</v>
      </c>
      <c r="C185" s="151">
        <f t="shared" si="6"/>
        <v>7.125</v>
      </c>
      <c r="D185" s="151">
        <f t="shared" si="6"/>
        <v>19.125</v>
      </c>
      <c r="E185" s="151">
        <f t="shared" si="6"/>
        <v>68.625</v>
      </c>
      <c r="F185" s="151">
        <f t="shared" si="6"/>
        <v>150.375</v>
      </c>
      <c r="G185" s="151">
        <f t="shared" si="6"/>
        <v>228</v>
      </c>
      <c r="H185" s="151">
        <f t="shared" si="6"/>
        <v>229.125</v>
      </c>
      <c r="I185" s="151">
        <f t="shared" si="6"/>
        <v>318</v>
      </c>
      <c r="J185" s="151">
        <f t="shared" si="6"/>
        <v>270.375</v>
      </c>
      <c r="K185" s="151">
        <f t="shared" si="6"/>
        <v>209.25</v>
      </c>
      <c r="L185" s="151">
        <f t="shared" si="6"/>
        <v>76.875</v>
      </c>
      <c r="M185" s="151">
        <f t="shared" si="6"/>
        <v>21</v>
      </c>
      <c r="N185" s="152">
        <f t="shared" si="4"/>
        <v>1603.5</v>
      </c>
      <c r="O185" s="116"/>
      <c r="P185" s="116"/>
      <c r="Q185" s="116"/>
    </row>
    <row r="186" spans="1:17" x14ac:dyDescent="0.25">
      <c r="A186" s="127" t="s">
        <v>430</v>
      </c>
      <c r="B186" s="150">
        <f t="shared" si="6"/>
        <v>3</v>
      </c>
      <c r="C186" s="151">
        <f t="shared" si="6"/>
        <v>5.625</v>
      </c>
      <c r="D186" s="151">
        <f t="shared" si="6"/>
        <v>13.125</v>
      </c>
      <c r="E186" s="151">
        <f t="shared" si="6"/>
        <v>50.25</v>
      </c>
      <c r="F186" s="151">
        <f t="shared" si="6"/>
        <v>146.625</v>
      </c>
      <c r="G186" s="151">
        <f t="shared" si="6"/>
        <v>205.5</v>
      </c>
      <c r="H186" s="151">
        <f t="shared" si="6"/>
        <v>211.5</v>
      </c>
      <c r="I186" s="151">
        <f t="shared" si="6"/>
        <v>254.625</v>
      </c>
      <c r="J186" s="151">
        <f t="shared" si="6"/>
        <v>260.25</v>
      </c>
      <c r="K186" s="151">
        <f t="shared" si="6"/>
        <v>163.125</v>
      </c>
      <c r="L186" s="151">
        <f t="shared" si="6"/>
        <v>50.25</v>
      </c>
      <c r="M186" s="151">
        <f t="shared" si="6"/>
        <v>8.625</v>
      </c>
      <c r="N186" s="152">
        <f t="shared" si="4"/>
        <v>1372.5</v>
      </c>
      <c r="O186" s="116"/>
      <c r="P186" s="116"/>
      <c r="Q186" s="116"/>
    </row>
    <row r="187" spans="1:17" x14ac:dyDescent="0.25">
      <c r="A187" s="127" t="s">
        <v>431</v>
      </c>
      <c r="B187" s="150">
        <f t="shared" si="6"/>
        <v>0</v>
      </c>
      <c r="C187" s="151">
        <f t="shared" si="6"/>
        <v>1.125</v>
      </c>
      <c r="D187" s="151">
        <f t="shared" si="6"/>
        <v>3.75</v>
      </c>
      <c r="E187" s="151">
        <f t="shared" si="6"/>
        <v>39</v>
      </c>
      <c r="F187" s="151">
        <f t="shared" si="6"/>
        <v>114.375</v>
      </c>
      <c r="G187" s="151">
        <f t="shared" si="6"/>
        <v>171.375</v>
      </c>
      <c r="H187" s="151">
        <f t="shared" si="6"/>
        <v>195</v>
      </c>
      <c r="I187" s="151">
        <f t="shared" si="6"/>
        <v>254.25</v>
      </c>
      <c r="J187" s="151">
        <f t="shared" si="6"/>
        <v>176.625</v>
      </c>
      <c r="K187" s="151">
        <f t="shared" si="6"/>
        <v>80.625</v>
      </c>
      <c r="L187" s="151">
        <f t="shared" si="6"/>
        <v>20.25</v>
      </c>
      <c r="M187" s="151">
        <f t="shared" si="6"/>
        <v>0</v>
      </c>
      <c r="N187" s="152">
        <f t="shared" si="4"/>
        <v>1056.375</v>
      </c>
      <c r="O187" s="116"/>
      <c r="P187" s="116"/>
      <c r="Q187" s="116"/>
    </row>
    <row r="188" spans="1:17" x14ac:dyDescent="0.25">
      <c r="A188" s="127" t="s">
        <v>432</v>
      </c>
      <c r="B188" s="150">
        <f t="shared" si="6"/>
        <v>36.75</v>
      </c>
      <c r="C188" s="151">
        <f t="shared" si="6"/>
        <v>0</v>
      </c>
      <c r="D188" s="151">
        <f t="shared" si="6"/>
        <v>7.875</v>
      </c>
      <c r="E188" s="151">
        <f t="shared" si="6"/>
        <v>15</v>
      </c>
      <c r="F188" s="151">
        <f t="shared" si="6"/>
        <v>37.875</v>
      </c>
      <c r="G188" s="151">
        <f t="shared" si="6"/>
        <v>49.125</v>
      </c>
      <c r="H188" s="151">
        <f t="shared" si="6"/>
        <v>31.875</v>
      </c>
      <c r="I188" s="151">
        <f t="shared" si="6"/>
        <v>48.75</v>
      </c>
      <c r="J188" s="151">
        <f t="shared" si="6"/>
        <v>165.75</v>
      </c>
      <c r="K188" s="151">
        <f t="shared" si="6"/>
        <v>401.625</v>
      </c>
      <c r="L188" s="151">
        <f t="shared" si="6"/>
        <v>339</v>
      </c>
      <c r="M188" s="151">
        <f t="shared" si="6"/>
        <v>132.375</v>
      </c>
      <c r="N188" s="152">
        <f t="shared" si="4"/>
        <v>1266</v>
      </c>
      <c r="O188" s="116"/>
      <c r="P188" s="116"/>
      <c r="Q188" s="116"/>
    </row>
    <row r="189" spans="1:17" x14ac:dyDescent="0.25">
      <c r="A189" s="127" t="s">
        <v>433</v>
      </c>
      <c r="B189" s="150">
        <f t="shared" si="6"/>
        <v>0</v>
      </c>
      <c r="C189" s="151">
        <f t="shared" si="6"/>
        <v>0</v>
      </c>
      <c r="D189" s="151">
        <f t="shared" si="6"/>
        <v>1.875</v>
      </c>
      <c r="E189" s="151">
        <f t="shared" si="6"/>
        <v>7.875</v>
      </c>
      <c r="F189" s="151">
        <f t="shared" si="6"/>
        <v>30.375</v>
      </c>
      <c r="G189" s="151">
        <f t="shared" si="6"/>
        <v>19.875</v>
      </c>
      <c r="H189" s="151">
        <f t="shared" si="6"/>
        <v>1.5</v>
      </c>
      <c r="I189" s="151">
        <f t="shared" si="6"/>
        <v>14.25</v>
      </c>
      <c r="J189" s="151">
        <f t="shared" si="6"/>
        <v>110.25</v>
      </c>
      <c r="K189" s="151">
        <f t="shared" si="6"/>
        <v>334.125</v>
      </c>
      <c r="L189" s="151">
        <f t="shared" si="6"/>
        <v>248.25</v>
      </c>
      <c r="M189" s="151">
        <f t="shared" si="6"/>
        <v>77.625</v>
      </c>
      <c r="N189" s="152">
        <f t="shared" si="4"/>
        <v>846</v>
      </c>
      <c r="O189" s="116"/>
      <c r="P189" s="116"/>
      <c r="Q189" s="116"/>
    </row>
    <row r="190" spans="1:17" x14ac:dyDescent="0.25">
      <c r="A190" s="127" t="s">
        <v>434</v>
      </c>
      <c r="B190" s="150">
        <f t="shared" si="6"/>
        <v>2.25</v>
      </c>
      <c r="C190" s="151">
        <f t="shared" si="6"/>
        <v>0.375</v>
      </c>
      <c r="D190" s="151">
        <f t="shared" si="6"/>
        <v>9.75</v>
      </c>
      <c r="E190" s="151">
        <f t="shared" si="6"/>
        <v>43.125</v>
      </c>
      <c r="F190" s="151">
        <f t="shared" si="6"/>
        <v>124.875</v>
      </c>
      <c r="G190" s="151">
        <f t="shared" si="6"/>
        <v>132.75</v>
      </c>
      <c r="H190" s="151">
        <f t="shared" si="6"/>
        <v>155.625</v>
      </c>
      <c r="I190" s="151">
        <f t="shared" si="6"/>
        <v>193.875</v>
      </c>
      <c r="J190" s="151">
        <f t="shared" si="6"/>
        <v>150.75</v>
      </c>
      <c r="K190" s="151">
        <f t="shared" si="6"/>
        <v>142.125</v>
      </c>
      <c r="L190" s="151">
        <f t="shared" si="6"/>
        <v>71.25</v>
      </c>
      <c r="M190" s="151">
        <f t="shared" si="6"/>
        <v>11.25</v>
      </c>
      <c r="N190" s="152">
        <f t="shared" si="4"/>
        <v>1038</v>
      </c>
      <c r="O190" s="116"/>
      <c r="P190" s="116"/>
      <c r="Q190" s="116"/>
    </row>
    <row r="191" spans="1:17" x14ac:dyDescent="0.25">
      <c r="A191" s="127" t="s">
        <v>435</v>
      </c>
      <c r="B191" s="150">
        <f t="shared" si="6"/>
        <v>0</v>
      </c>
      <c r="C191" s="151">
        <f t="shared" si="6"/>
        <v>0</v>
      </c>
      <c r="D191" s="151">
        <f t="shared" si="6"/>
        <v>21.375</v>
      </c>
      <c r="E191" s="151">
        <f t="shared" si="6"/>
        <v>92.25</v>
      </c>
      <c r="F191" s="151">
        <f t="shared" si="6"/>
        <v>175.125</v>
      </c>
      <c r="G191" s="151">
        <f t="shared" si="6"/>
        <v>216.375</v>
      </c>
      <c r="H191" s="151">
        <f t="shared" si="6"/>
        <v>252.375</v>
      </c>
      <c r="I191" s="151">
        <f t="shared" si="6"/>
        <v>248.625</v>
      </c>
      <c r="J191" s="151">
        <f t="shared" si="6"/>
        <v>159.75</v>
      </c>
      <c r="K191" s="151">
        <f t="shared" si="6"/>
        <v>92.625</v>
      </c>
      <c r="L191" s="151">
        <f t="shared" si="6"/>
        <v>32.25</v>
      </c>
      <c r="M191" s="151">
        <f t="shared" si="6"/>
        <v>1.125</v>
      </c>
      <c r="N191" s="152">
        <f t="shared" si="4"/>
        <v>1291.875</v>
      </c>
      <c r="O191" s="116"/>
      <c r="P191" s="116"/>
      <c r="Q191" s="116"/>
    </row>
    <row r="192" spans="1:17" x14ac:dyDescent="0.25">
      <c r="A192" s="127" t="s">
        <v>436</v>
      </c>
      <c r="B192" s="150">
        <f t="shared" si="6"/>
        <v>0</v>
      </c>
      <c r="C192" s="151">
        <f t="shared" si="6"/>
        <v>0</v>
      </c>
      <c r="D192" s="151">
        <f t="shared" si="6"/>
        <v>2.25</v>
      </c>
      <c r="E192" s="151">
        <f t="shared" si="6"/>
        <v>23.625</v>
      </c>
      <c r="F192" s="151">
        <f t="shared" si="6"/>
        <v>104.25</v>
      </c>
      <c r="G192" s="151">
        <f t="shared" si="6"/>
        <v>122.25</v>
      </c>
      <c r="H192" s="151">
        <f t="shared" si="6"/>
        <v>113.25</v>
      </c>
      <c r="I192" s="151">
        <f t="shared" si="6"/>
        <v>135.375</v>
      </c>
      <c r="J192" s="151">
        <f t="shared" si="6"/>
        <v>124.125</v>
      </c>
      <c r="K192" s="151">
        <f t="shared" si="6"/>
        <v>151.875</v>
      </c>
      <c r="L192" s="151">
        <f t="shared" si="6"/>
        <v>58.5</v>
      </c>
      <c r="M192" s="151">
        <f t="shared" si="6"/>
        <v>4.125</v>
      </c>
      <c r="N192" s="152">
        <f t="shared" si="4"/>
        <v>839.625</v>
      </c>
      <c r="O192" s="116"/>
      <c r="P192" s="116"/>
      <c r="Q192" s="116"/>
    </row>
    <row r="193" spans="1:17" x14ac:dyDescent="0.25">
      <c r="A193" s="127" t="s">
        <v>437</v>
      </c>
      <c r="B193" s="150">
        <f t="shared" si="6"/>
        <v>0</v>
      </c>
      <c r="C193" s="151">
        <f t="shared" si="6"/>
        <v>1.125</v>
      </c>
      <c r="D193" s="151">
        <f t="shared" si="6"/>
        <v>13.125</v>
      </c>
      <c r="E193" s="151">
        <f t="shared" si="6"/>
        <v>39</v>
      </c>
      <c r="F193" s="151">
        <f t="shared" si="6"/>
        <v>76.125</v>
      </c>
      <c r="G193" s="151">
        <f t="shared" si="6"/>
        <v>118.125</v>
      </c>
      <c r="H193" s="151">
        <f t="shared" si="6"/>
        <v>118.125</v>
      </c>
      <c r="I193" s="151">
        <f t="shared" si="6"/>
        <v>126</v>
      </c>
      <c r="J193" s="151">
        <f t="shared" si="6"/>
        <v>51</v>
      </c>
      <c r="K193" s="151">
        <f t="shared" si="6"/>
        <v>16.5</v>
      </c>
      <c r="L193" s="151">
        <f t="shared" si="6"/>
        <v>9</v>
      </c>
      <c r="M193" s="151">
        <f t="shared" si="6"/>
        <v>0</v>
      </c>
      <c r="N193" s="152">
        <f t="shared" si="4"/>
        <v>568.125</v>
      </c>
      <c r="O193" s="116"/>
      <c r="P193" s="116"/>
      <c r="Q193" s="116"/>
    </row>
    <row r="194" spans="1:17" x14ac:dyDescent="0.25">
      <c r="A194" s="127" t="s">
        <v>438</v>
      </c>
      <c r="B194" s="150">
        <f t="shared" ref="B194:M209" si="7">IF(B53/B123&gt;5,(B53-B123*5)*0.75,0)</f>
        <v>0</v>
      </c>
      <c r="C194" s="151">
        <f t="shared" si="7"/>
        <v>0</v>
      </c>
      <c r="D194" s="151">
        <f t="shared" si="7"/>
        <v>0</v>
      </c>
      <c r="E194" s="151">
        <f t="shared" si="7"/>
        <v>26.625</v>
      </c>
      <c r="F194" s="151">
        <f t="shared" si="7"/>
        <v>111.375</v>
      </c>
      <c r="G194" s="151">
        <f t="shared" si="7"/>
        <v>152.25</v>
      </c>
      <c r="H194" s="151">
        <f t="shared" si="7"/>
        <v>184.875</v>
      </c>
      <c r="I194" s="151">
        <f t="shared" si="7"/>
        <v>161.25</v>
      </c>
      <c r="J194" s="151">
        <f t="shared" si="7"/>
        <v>122.625</v>
      </c>
      <c r="K194" s="151">
        <f t="shared" si="7"/>
        <v>91.125</v>
      </c>
      <c r="L194" s="151">
        <f t="shared" si="7"/>
        <v>22.5</v>
      </c>
      <c r="M194" s="151">
        <f t="shared" si="7"/>
        <v>0</v>
      </c>
      <c r="N194" s="152">
        <f t="shared" si="4"/>
        <v>872.625</v>
      </c>
      <c r="O194" s="116"/>
      <c r="P194" s="116"/>
      <c r="Q194" s="116"/>
    </row>
    <row r="195" spans="1:17" x14ac:dyDescent="0.25">
      <c r="A195" s="127" t="s">
        <v>439</v>
      </c>
      <c r="B195" s="150">
        <f t="shared" si="7"/>
        <v>0</v>
      </c>
      <c r="C195" s="151">
        <f t="shared" si="7"/>
        <v>0</v>
      </c>
      <c r="D195" s="151">
        <f t="shared" si="7"/>
        <v>0</v>
      </c>
      <c r="E195" s="151">
        <f t="shared" si="7"/>
        <v>32.625</v>
      </c>
      <c r="F195" s="151">
        <f t="shared" si="7"/>
        <v>108.75</v>
      </c>
      <c r="G195" s="151">
        <f t="shared" si="7"/>
        <v>212.25</v>
      </c>
      <c r="H195" s="151">
        <f t="shared" si="7"/>
        <v>249.75</v>
      </c>
      <c r="I195" s="151">
        <f t="shared" si="7"/>
        <v>265.875</v>
      </c>
      <c r="J195" s="151">
        <f t="shared" si="7"/>
        <v>184.875</v>
      </c>
      <c r="K195" s="151">
        <f t="shared" si="7"/>
        <v>118.5</v>
      </c>
      <c r="L195" s="151">
        <f t="shared" si="7"/>
        <v>32.25</v>
      </c>
      <c r="M195" s="151">
        <f t="shared" si="7"/>
        <v>0</v>
      </c>
      <c r="N195" s="152">
        <f t="shared" si="4"/>
        <v>1204.875</v>
      </c>
      <c r="O195" s="116"/>
      <c r="P195" s="116"/>
      <c r="Q195" s="116"/>
    </row>
    <row r="196" spans="1:17" x14ac:dyDescent="0.25">
      <c r="A196" s="127" t="s">
        <v>374</v>
      </c>
      <c r="B196" s="150">
        <f t="shared" si="7"/>
        <v>0</v>
      </c>
      <c r="C196" s="151">
        <f t="shared" si="7"/>
        <v>0</v>
      </c>
      <c r="D196" s="151">
        <f t="shared" si="7"/>
        <v>2.625</v>
      </c>
      <c r="E196" s="151">
        <f t="shared" si="7"/>
        <v>18</v>
      </c>
      <c r="F196" s="151">
        <f t="shared" si="7"/>
        <v>88.5</v>
      </c>
      <c r="G196" s="151">
        <f t="shared" si="7"/>
        <v>137.25</v>
      </c>
      <c r="H196" s="151">
        <f t="shared" si="7"/>
        <v>144.375</v>
      </c>
      <c r="I196" s="151">
        <f t="shared" si="7"/>
        <v>126.75</v>
      </c>
      <c r="J196" s="151">
        <f t="shared" si="7"/>
        <v>141</v>
      </c>
      <c r="K196" s="151">
        <f t="shared" si="7"/>
        <v>139.875</v>
      </c>
      <c r="L196" s="151">
        <f t="shared" si="7"/>
        <v>55.875</v>
      </c>
      <c r="M196" s="151">
        <f t="shared" si="7"/>
        <v>0</v>
      </c>
      <c r="N196" s="152">
        <f t="shared" si="4"/>
        <v>854.25</v>
      </c>
      <c r="O196" s="116"/>
      <c r="P196" s="116"/>
      <c r="Q196" s="116"/>
    </row>
    <row r="197" spans="1:17" x14ac:dyDescent="0.25">
      <c r="A197" s="127" t="s">
        <v>440</v>
      </c>
      <c r="B197" s="150">
        <f t="shared" si="7"/>
        <v>3.375</v>
      </c>
      <c r="C197" s="151">
        <f t="shared" si="7"/>
        <v>2.25</v>
      </c>
      <c r="D197" s="151">
        <f t="shared" si="7"/>
        <v>7.5</v>
      </c>
      <c r="E197" s="151">
        <f t="shared" si="7"/>
        <v>50.25</v>
      </c>
      <c r="F197" s="151">
        <f t="shared" si="7"/>
        <v>92.25</v>
      </c>
      <c r="G197" s="151">
        <f t="shared" si="7"/>
        <v>121.875</v>
      </c>
      <c r="H197" s="151">
        <f t="shared" si="7"/>
        <v>111</v>
      </c>
      <c r="I197" s="151">
        <f t="shared" si="7"/>
        <v>94.5</v>
      </c>
      <c r="J197" s="151">
        <f t="shared" si="7"/>
        <v>176.25</v>
      </c>
      <c r="K197" s="151">
        <f t="shared" si="7"/>
        <v>155.625</v>
      </c>
      <c r="L197" s="151">
        <f t="shared" si="7"/>
        <v>60.75</v>
      </c>
      <c r="M197" s="151">
        <f t="shared" si="7"/>
        <v>21.75</v>
      </c>
      <c r="N197" s="152">
        <f t="shared" si="4"/>
        <v>897.375</v>
      </c>
      <c r="O197" s="116"/>
      <c r="P197" s="116"/>
      <c r="Q197" s="116"/>
    </row>
    <row r="198" spans="1:17" x14ac:dyDescent="0.25">
      <c r="A198" s="127" t="s">
        <v>441</v>
      </c>
      <c r="B198" s="150">
        <f t="shared" si="7"/>
        <v>0</v>
      </c>
      <c r="C198" s="151">
        <f t="shared" si="7"/>
        <v>0</v>
      </c>
      <c r="D198" s="151">
        <f t="shared" si="7"/>
        <v>0</v>
      </c>
      <c r="E198" s="151">
        <f t="shared" si="7"/>
        <v>12.75</v>
      </c>
      <c r="F198" s="151">
        <f t="shared" si="7"/>
        <v>76.125</v>
      </c>
      <c r="G198" s="151">
        <f t="shared" si="7"/>
        <v>102</v>
      </c>
      <c r="H198" s="151">
        <f t="shared" si="7"/>
        <v>109.875</v>
      </c>
      <c r="I198" s="151">
        <f t="shared" si="7"/>
        <v>165.375</v>
      </c>
      <c r="J198" s="151">
        <f t="shared" si="7"/>
        <v>181.125</v>
      </c>
      <c r="K198" s="151">
        <f t="shared" si="7"/>
        <v>121.5</v>
      </c>
      <c r="L198" s="151">
        <f t="shared" si="7"/>
        <v>19.125</v>
      </c>
      <c r="M198" s="151">
        <f t="shared" si="7"/>
        <v>0</v>
      </c>
      <c r="N198" s="152">
        <f t="shared" si="4"/>
        <v>787.875</v>
      </c>
      <c r="O198" s="116"/>
      <c r="P198" s="116"/>
      <c r="Q198" s="116"/>
    </row>
    <row r="199" spans="1:17" x14ac:dyDescent="0.25">
      <c r="A199" s="127" t="s">
        <v>442</v>
      </c>
      <c r="B199" s="150">
        <f t="shared" si="7"/>
        <v>0</v>
      </c>
      <c r="C199" s="151">
        <f t="shared" si="7"/>
        <v>0</v>
      </c>
      <c r="D199" s="151">
        <f t="shared" si="7"/>
        <v>0</v>
      </c>
      <c r="E199" s="151">
        <f t="shared" si="7"/>
        <v>25.125</v>
      </c>
      <c r="F199" s="151">
        <f t="shared" si="7"/>
        <v>116.625</v>
      </c>
      <c r="G199" s="151">
        <f t="shared" si="7"/>
        <v>189.75</v>
      </c>
      <c r="H199" s="151">
        <f t="shared" si="7"/>
        <v>241.125</v>
      </c>
      <c r="I199" s="151">
        <f t="shared" si="7"/>
        <v>192.375</v>
      </c>
      <c r="J199" s="151">
        <f t="shared" si="7"/>
        <v>127.125</v>
      </c>
      <c r="K199" s="151">
        <f t="shared" si="7"/>
        <v>69.375</v>
      </c>
      <c r="L199" s="151">
        <f t="shared" si="7"/>
        <v>9.375</v>
      </c>
      <c r="M199" s="151">
        <f t="shared" si="7"/>
        <v>0</v>
      </c>
      <c r="N199" s="152">
        <f t="shared" si="4"/>
        <v>970.875</v>
      </c>
      <c r="O199" s="116"/>
      <c r="P199" s="116"/>
      <c r="Q199" s="116"/>
    </row>
    <row r="200" spans="1:17" x14ac:dyDescent="0.25">
      <c r="A200" s="127" t="s">
        <v>443</v>
      </c>
      <c r="B200" s="150">
        <f t="shared" si="7"/>
        <v>0</v>
      </c>
      <c r="C200" s="151">
        <f t="shared" si="7"/>
        <v>0</v>
      </c>
      <c r="D200" s="151">
        <f t="shared" si="7"/>
        <v>0</v>
      </c>
      <c r="E200" s="151">
        <f t="shared" si="7"/>
        <v>0</v>
      </c>
      <c r="F200" s="151">
        <f t="shared" si="7"/>
        <v>57</v>
      </c>
      <c r="G200" s="151">
        <f t="shared" si="7"/>
        <v>98.25</v>
      </c>
      <c r="H200" s="151">
        <f t="shared" si="7"/>
        <v>99</v>
      </c>
      <c r="I200" s="151">
        <f t="shared" si="7"/>
        <v>149.625</v>
      </c>
      <c r="J200" s="151">
        <f t="shared" si="7"/>
        <v>249.75</v>
      </c>
      <c r="K200" s="151">
        <f t="shared" si="7"/>
        <v>168.75</v>
      </c>
      <c r="L200" s="151">
        <f t="shared" si="7"/>
        <v>35.25</v>
      </c>
      <c r="M200" s="151">
        <f t="shared" si="7"/>
        <v>0</v>
      </c>
      <c r="N200" s="152">
        <f t="shared" si="4"/>
        <v>857.625</v>
      </c>
      <c r="O200" s="116"/>
      <c r="P200" s="116"/>
      <c r="Q200" s="116"/>
    </row>
    <row r="201" spans="1:17" x14ac:dyDescent="0.25">
      <c r="A201" s="127" t="s">
        <v>444</v>
      </c>
      <c r="B201" s="150">
        <f t="shared" si="7"/>
        <v>28.125</v>
      </c>
      <c r="C201" s="151">
        <f t="shared" si="7"/>
        <v>13.875</v>
      </c>
      <c r="D201" s="151">
        <f t="shared" si="7"/>
        <v>8.625</v>
      </c>
      <c r="E201" s="151">
        <f t="shared" si="7"/>
        <v>10.875</v>
      </c>
      <c r="F201" s="151">
        <f t="shared" si="7"/>
        <v>34.875</v>
      </c>
      <c r="G201" s="151">
        <f t="shared" si="7"/>
        <v>113.625</v>
      </c>
      <c r="H201" s="151">
        <f t="shared" si="7"/>
        <v>108.375</v>
      </c>
      <c r="I201" s="151">
        <f t="shared" si="7"/>
        <v>104.25</v>
      </c>
      <c r="J201" s="151">
        <f t="shared" si="7"/>
        <v>118.875</v>
      </c>
      <c r="K201" s="151">
        <f t="shared" si="7"/>
        <v>136.875</v>
      </c>
      <c r="L201" s="151">
        <f t="shared" si="7"/>
        <v>219.75</v>
      </c>
      <c r="M201" s="151">
        <f t="shared" si="7"/>
        <v>194.625</v>
      </c>
      <c r="N201" s="152">
        <f t="shared" si="4"/>
        <v>1092.75</v>
      </c>
      <c r="O201" s="116"/>
      <c r="P201" s="116"/>
      <c r="Q201" s="116"/>
    </row>
    <row r="202" spans="1:17" x14ac:dyDescent="0.25">
      <c r="A202" s="127" t="s">
        <v>445</v>
      </c>
      <c r="B202" s="150">
        <f t="shared" si="7"/>
        <v>0</v>
      </c>
      <c r="C202" s="151">
        <f t="shared" si="7"/>
        <v>0</v>
      </c>
      <c r="D202" s="151">
        <f t="shared" si="7"/>
        <v>4.5</v>
      </c>
      <c r="E202" s="151">
        <f t="shared" si="7"/>
        <v>10.125</v>
      </c>
      <c r="F202" s="151">
        <f t="shared" si="7"/>
        <v>25.875</v>
      </c>
      <c r="G202" s="151">
        <f t="shared" si="7"/>
        <v>13.5</v>
      </c>
      <c r="H202" s="151">
        <f t="shared" si="7"/>
        <v>9</v>
      </c>
      <c r="I202" s="151">
        <f t="shared" si="7"/>
        <v>5.25</v>
      </c>
      <c r="J202" s="151">
        <f t="shared" si="7"/>
        <v>115.5</v>
      </c>
      <c r="K202" s="151">
        <f t="shared" si="7"/>
        <v>358.5</v>
      </c>
      <c r="L202" s="151">
        <f t="shared" si="7"/>
        <v>264</v>
      </c>
      <c r="M202" s="151">
        <f t="shared" si="7"/>
        <v>79.875</v>
      </c>
      <c r="N202" s="152">
        <f t="shared" si="4"/>
        <v>886.125</v>
      </c>
      <c r="O202" s="116"/>
      <c r="P202" s="116"/>
      <c r="Q202" s="116"/>
    </row>
    <row r="203" spans="1:17" x14ac:dyDescent="0.25">
      <c r="A203" s="127" t="s">
        <v>446</v>
      </c>
      <c r="B203" s="150">
        <f t="shared" si="7"/>
        <v>0</v>
      </c>
      <c r="C203" s="151">
        <f t="shared" si="7"/>
        <v>0</v>
      </c>
      <c r="D203" s="151">
        <f t="shared" si="7"/>
        <v>0</v>
      </c>
      <c r="E203" s="151">
        <f t="shared" si="7"/>
        <v>30</v>
      </c>
      <c r="F203" s="151">
        <f t="shared" si="7"/>
        <v>109.875</v>
      </c>
      <c r="G203" s="151">
        <f t="shared" si="7"/>
        <v>148.875</v>
      </c>
      <c r="H203" s="151">
        <f t="shared" si="7"/>
        <v>142.875</v>
      </c>
      <c r="I203" s="151">
        <f t="shared" si="7"/>
        <v>155.625</v>
      </c>
      <c r="J203" s="151">
        <f t="shared" si="7"/>
        <v>85.5</v>
      </c>
      <c r="K203" s="151">
        <f t="shared" si="7"/>
        <v>57</v>
      </c>
      <c r="L203" s="151">
        <f t="shared" si="7"/>
        <v>9</v>
      </c>
      <c r="M203" s="151">
        <f t="shared" si="7"/>
        <v>0</v>
      </c>
      <c r="N203" s="152">
        <f t="shared" si="4"/>
        <v>738.75</v>
      </c>
      <c r="O203" s="116"/>
      <c r="P203" s="116"/>
      <c r="Q203" s="116"/>
    </row>
    <row r="204" spans="1:17" x14ac:dyDescent="0.25">
      <c r="A204" s="127" t="s">
        <v>447</v>
      </c>
      <c r="B204" s="150">
        <f t="shared" si="7"/>
        <v>0</v>
      </c>
      <c r="C204" s="151">
        <f t="shared" si="7"/>
        <v>0</v>
      </c>
      <c r="D204" s="151">
        <f t="shared" si="7"/>
        <v>0</v>
      </c>
      <c r="E204" s="151">
        <f t="shared" si="7"/>
        <v>26.25</v>
      </c>
      <c r="F204" s="151">
        <f t="shared" si="7"/>
        <v>95.625</v>
      </c>
      <c r="G204" s="151">
        <f t="shared" si="7"/>
        <v>145.5</v>
      </c>
      <c r="H204" s="151">
        <f t="shared" si="7"/>
        <v>158.625</v>
      </c>
      <c r="I204" s="151">
        <f t="shared" si="7"/>
        <v>201.375</v>
      </c>
      <c r="J204" s="151">
        <f t="shared" si="7"/>
        <v>121.5</v>
      </c>
      <c r="K204" s="151">
        <f t="shared" si="7"/>
        <v>50.25</v>
      </c>
      <c r="L204" s="151">
        <f t="shared" si="7"/>
        <v>1.125</v>
      </c>
      <c r="M204" s="151">
        <f t="shared" si="7"/>
        <v>0</v>
      </c>
      <c r="N204" s="152">
        <f t="shared" si="4"/>
        <v>800.25</v>
      </c>
      <c r="O204" s="116"/>
      <c r="P204" s="116"/>
      <c r="Q204" s="116"/>
    </row>
    <row r="205" spans="1:17" x14ac:dyDescent="0.25">
      <c r="A205" s="127" t="s">
        <v>448</v>
      </c>
      <c r="B205" s="150">
        <f t="shared" si="7"/>
        <v>0</v>
      </c>
      <c r="C205" s="151">
        <f t="shared" si="7"/>
        <v>0</v>
      </c>
      <c r="D205" s="151">
        <f t="shared" si="7"/>
        <v>0</v>
      </c>
      <c r="E205" s="151">
        <f t="shared" si="7"/>
        <v>22.125</v>
      </c>
      <c r="F205" s="151">
        <f t="shared" si="7"/>
        <v>82.5</v>
      </c>
      <c r="G205" s="151">
        <f t="shared" si="7"/>
        <v>144.375</v>
      </c>
      <c r="H205" s="151">
        <f t="shared" si="7"/>
        <v>138.375</v>
      </c>
      <c r="I205" s="151">
        <f t="shared" si="7"/>
        <v>145.875</v>
      </c>
      <c r="J205" s="151">
        <f t="shared" si="7"/>
        <v>94.125</v>
      </c>
      <c r="K205" s="151">
        <f t="shared" si="7"/>
        <v>74.25</v>
      </c>
      <c r="L205" s="151">
        <f t="shared" si="7"/>
        <v>9.375</v>
      </c>
      <c r="M205" s="151">
        <f t="shared" si="7"/>
        <v>0</v>
      </c>
      <c r="N205" s="152">
        <f t="shared" si="4"/>
        <v>711</v>
      </c>
      <c r="O205" s="116"/>
      <c r="P205" s="116"/>
      <c r="Q205" s="116"/>
    </row>
    <row r="206" spans="1:17" x14ac:dyDescent="0.25">
      <c r="A206" s="127" t="s">
        <v>449</v>
      </c>
      <c r="B206" s="150">
        <f t="shared" si="7"/>
        <v>0</v>
      </c>
      <c r="C206" s="151">
        <f t="shared" si="7"/>
        <v>0</v>
      </c>
      <c r="D206" s="151">
        <f t="shared" si="7"/>
        <v>0</v>
      </c>
      <c r="E206" s="151">
        <f t="shared" si="7"/>
        <v>6.375</v>
      </c>
      <c r="F206" s="151">
        <f t="shared" si="7"/>
        <v>58.125</v>
      </c>
      <c r="G206" s="151">
        <f t="shared" si="7"/>
        <v>54.75</v>
      </c>
      <c r="H206" s="151">
        <f t="shared" si="7"/>
        <v>60.75</v>
      </c>
      <c r="I206" s="151">
        <f t="shared" si="7"/>
        <v>123</v>
      </c>
      <c r="J206" s="151">
        <f t="shared" si="7"/>
        <v>331.875</v>
      </c>
      <c r="K206" s="151">
        <f t="shared" si="7"/>
        <v>345</v>
      </c>
      <c r="L206" s="151">
        <f t="shared" si="7"/>
        <v>89.625</v>
      </c>
      <c r="M206" s="151">
        <f t="shared" si="7"/>
        <v>15.75</v>
      </c>
      <c r="N206" s="152">
        <f t="shared" si="4"/>
        <v>1085.25</v>
      </c>
      <c r="O206" s="116"/>
      <c r="P206" s="116"/>
      <c r="Q206" s="116"/>
    </row>
    <row r="207" spans="1:17" x14ac:dyDescent="0.25">
      <c r="A207" s="127" t="s">
        <v>450</v>
      </c>
      <c r="B207" s="150">
        <f t="shared" si="7"/>
        <v>0</v>
      </c>
      <c r="C207" s="151">
        <f t="shared" si="7"/>
        <v>0</v>
      </c>
      <c r="D207" s="151">
        <f t="shared" si="7"/>
        <v>0</v>
      </c>
      <c r="E207" s="151">
        <f t="shared" si="7"/>
        <v>22.5</v>
      </c>
      <c r="F207" s="151">
        <f t="shared" si="7"/>
        <v>78</v>
      </c>
      <c r="G207" s="151">
        <f t="shared" si="7"/>
        <v>131.625</v>
      </c>
      <c r="H207" s="151">
        <f t="shared" si="7"/>
        <v>125.625</v>
      </c>
      <c r="I207" s="151">
        <f t="shared" si="7"/>
        <v>159.375</v>
      </c>
      <c r="J207" s="151">
        <f t="shared" si="7"/>
        <v>90</v>
      </c>
      <c r="K207" s="151">
        <f t="shared" si="7"/>
        <v>63.375</v>
      </c>
      <c r="L207" s="151">
        <f t="shared" si="7"/>
        <v>11.25</v>
      </c>
      <c r="M207" s="151">
        <f t="shared" si="7"/>
        <v>0</v>
      </c>
      <c r="N207" s="152">
        <f t="shared" si="4"/>
        <v>681.75</v>
      </c>
      <c r="O207" s="116"/>
      <c r="P207" s="116"/>
      <c r="Q207" s="116"/>
    </row>
    <row r="208" spans="1:17" x14ac:dyDescent="0.25">
      <c r="A208" s="127" t="s">
        <v>451</v>
      </c>
      <c r="B208" s="150">
        <f t="shared" si="7"/>
        <v>0</v>
      </c>
      <c r="C208" s="151">
        <f t="shared" si="7"/>
        <v>0</v>
      </c>
      <c r="D208" s="151">
        <f t="shared" si="7"/>
        <v>0.75</v>
      </c>
      <c r="E208" s="151">
        <f t="shared" si="7"/>
        <v>7.125</v>
      </c>
      <c r="F208" s="151">
        <f t="shared" si="7"/>
        <v>91.125</v>
      </c>
      <c r="G208" s="151">
        <f t="shared" si="7"/>
        <v>92.25</v>
      </c>
      <c r="H208" s="151">
        <f t="shared" si="7"/>
        <v>100.5</v>
      </c>
      <c r="I208" s="151">
        <f t="shared" si="7"/>
        <v>89.625</v>
      </c>
      <c r="J208" s="151">
        <f t="shared" si="7"/>
        <v>104.25</v>
      </c>
      <c r="K208" s="151">
        <f t="shared" si="7"/>
        <v>113.25</v>
      </c>
      <c r="L208" s="151">
        <f t="shared" si="7"/>
        <v>22.125</v>
      </c>
      <c r="M208" s="151">
        <f t="shared" si="7"/>
        <v>0</v>
      </c>
      <c r="N208" s="152">
        <f t="shared" si="4"/>
        <v>621</v>
      </c>
      <c r="O208" s="116"/>
      <c r="P208" s="116"/>
      <c r="Q208" s="116"/>
    </row>
    <row r="209" spans="1:17" ht="15.75" thickBot="1" x14ac:dyDescent="0.3">
      <c r="A209" s="132" t="s">
        <v>452</v>
      </c>
      <c r="B209" s="153">
        <f t="shared" si="7"/>
        <v>0</v>
      </c>
      <c r="C209" s="154">
        <f t="shared" si="7"/>
        <v>0</v>
      </c>
      <c r="D209" s="154">
        <f t="shared" si="7"/>
        <v>0</v>
      </c>
      <c r="E209" s="154">
        <f t="shared" si="7"/>
        <v>18.75</v>
      </c>
      <c r="F209" s="154">
        <f t="shared" si="7"/>
        <v>100.875</v>
      </c>
      <c r="G209" s="154">
        <f t="shared" si="7"/>
        <v>155.25</v>
      </c>
      <c r="H209" s="154">
        <f t="shared" si="7"/>
        <v>162</v>
      </c>
      <c r="I209" s="154">
        <f t="shared" si="7"/>
        <v>204</v>
      </c>
      <c r="J209" s="154">
        <f t="shared" si="7"/>
        <v>158.625</v>
      </c>
      <c r="K209" s="154">
        <f t="shared" si="7"/>
        <v>88.5</v>
      </c>
      <c r="L209" s="154">
        <f t="shared" si="7"/>
        <v>14.25</v>
      </c>
      <c r="M209" s="155">
        <f t="shared" si="7"/>
        <v>0</v>
      </c>
      <c r="N209" s="156">
        <f t="shared" si="4"/>
        <v>902.25</v>
      </c>
      <c r="O209" s="116"/>
      <c r="P209" s="116"/>
      <c r="Q209" s="116"/>
    </row>
    <row r="210" spans="1:17" x14ac:dyDescent="0.25">
      <c r="A210" s="116"/>
      <c r="B210" s="116"/>
      <c r="C210" s="116"/>
      <c r="D210" s="116"/>
      <c r="E210" s="116"/>
      <c r="F210" s="116"/>
      <c r="G210" s="116"/>
      <c r="H210" s="116"/>
      <c r="I210" s="116"/>
      <c r="J210" s="116"/>
      <c r="K210" s="116"/>
      <c r="L210" s="116"/>
      <c r="M210" s="116"/>
      <c r="N210" s="116"/>
      <c r="O210" s="116"/>
      <c r="P210" s="116"/>
      <c r="Q210" s="116"/>
    </row>
    <row r="211" spans="1:17" ht="15.75" thickBot="1" x14ac:dyDescent="0.3">
      <c r="A211" s="116"/>
      <c r="B211" s="116"/>
      <c r="C211" s="116"/>
      <c r="D211" s="116"/>
      <c r="E211" s="116"/>
      <c r="F211" s="116"/>
      <c r="G211" s="116"/>
      <c r="H211" s="116"/>
      <c r="I211" s="116"/>
      <c r="J211" s="116"/>
      <c r="K211" s="116"/>
      <c r="L211" s="116"/>
      <c r="M211" s="116"/>
      <c r="N211" s="116"/>
      <c r="O211" s="116"/>
      <c r="P211" s="116"/>
      <c r="Q211" s="116"/>
    </row>
    <row r="212" spans="1:17" ht="20.25" customHeight="1" thickBot="1" x14ac:dyDescent="0.3">
      <c r="A212" s="2453" t="s">
        <v>456</v>
      </c>
      <c r="B212" s="2454"/>
      <c r="C212" s="2454"/>
      <c r="D212" s="2454"/>
      <c r="E212" s="2454"/>
      <c r="F212" s="2454"/>
      <c r="G212" s="113"/>
      <c r="H212" s="113"/>
      <c r="I212" s="113"/>
      <c r="J212" s="113"/>
      <c r="K212" s="113"/>
      <c r="L212" s="113"/>
      <c r="M212" s="113"/>
      <c r="N212" s="113"/>
      <c r="O212" s="113"/>
      <c r="P212" s="113"/>
      <c r="Q212" s="116"/>
    </row>
    <row r="213" spans="1:17" x14ac:dyDescent="0.25">
      <c r="A213" s="116"/>
      <c r="B213" s="116"/>
      <c r="C213" s="116"/>
      <c r="D213" s="116"/>
      <c r="E213" s="116"/>
      <c r="F213" s="116"/>
      <c r="G213" s="116"/>
      <c r="H213" s="116"/>
      <c r="I213" s="116"/>
      <c r="J213" s="116"/>
      <c r="K213" s="116"/>
      <c r="L213" s="116"/>
      <c r="M213" s="116"/>
      <c r="N213" s="116"/>
      <c r="O213" s="116"/>
      <c r="P213" s="116"/>
      <c r="Q213" s="116"/>
    </row>
    <row r="214" spans="1:17" x14ac:dyDescent="0.25">
      <c r="A214" s="157" t="s">
        <v>457</v>
      </c>
      <c r="B214" s="116"/>
      <c r="C214" s="116"/>
      <c r="D214" s="116"/>
      <c r="E214" s="116"/>
      <c r="F214" s="116"/>
      <c r="G214" s="116"/>
      <c r="H214" s="116"/>
      <c r="I214" s="116"/>
      <c r="J214" s="116"/>
      <c r="K214" s="116"/>
      <c r="L214" s="116"/>
      <c r="M214" s="116"/>
      <c r="N214" s="116"/>
      <c r="O214" s="116"/>
      <c r="P214" s="116"/>
      <c r="Q214" s="116"/>
    </row>
    <row r="215" spans="1:17" ht="15.75" thickBot="1" x14ac:dyDescent="0.3">
      <c r="A215" s="157"/>
      <c r="B215" s="116"/>
      <c r="C215" s="116"/>
      <c r="D215" s="116"/>
      <c r="E215" s="116"/>
      <c r="F215" s="116"/>
      <c r="G215" s="116"/>
      <c r="H215" s="116"/>
      <c r="I215" s="116"/>
      <c r="J215" s="116"/>
      <c r="K215" s="116"/>
      <c r="L215" s="116"/>
      <c r="M215" s="116"/>
      <c r="N215" s="116"/>
      <c r="O215" s="116"/>
      <c r="P215" s="116"/>
      <c r="Q215" s="116"/>
    </row>
    <row r="216" spans="1:17" ht="15.75" thickBot="1" x14ac:dyDescent="0.3">
      <c r="A216" s="116"/>
      <c r="B216" s="118" t="s">
        <v>377</v>
      </c>
      <c r="C216" s="119" t="s">
        <v>378</v>
      </c>
      <c r="D216" s="119" t="s">
        <v>379</v>
      </c>
      <c r="E216" s="119" t="s">
        <v>380</v>
      </c>
      <c r="F216" s="119" t="s">
        <v>381</v>
      </c>
      <c r="G216" s="119" t="s">
        <v>382</v>
      </c>
      <c r="H216" s="119" t="s">
        <v>383</v>
      </c>
      <c r="I216" s="119" t="s">
        <v>384</v>
      </c>
      <c r="J216" s="119" t="s">
        <v>385</v>
      </c>
      <c r="K216" s="119" t="s">
        <v>386</v>
      </c>
      <c r="L216" s="119" t="s">
        <v>387</v>
      </c>
      <c r="M216" s="120" t="s">
        <v>388</v>
      </c>
      <c r="N216" s="121" t="s">
        <v>389</v>
      </c>
      <c r="O216" s="116"/>
      <c r="P216" s="116"/>
      <c r="Q216" s="116"/>
    </row>
    <row r="217" spans="1:17" ht="15.75" thickBot="1" x14ac:dyDescent="0.3">
      <c r="A217" s="132" t="s">
        <v>458</v>
      </c>
      <c r="B217" s="144">
        <v>51</v>
      </c>
      <c r="C217" s="145">
        <v>52</v>
      </c>
      <c r="D217" s="145">
        <v>60</v>
      </c>
      <c r="E217" s="145">
        <v>80</v>
      </c>
      <c r="F217" s="145">
        <v>114</v>
      </c>
      <c r="G217" s="145">
        <v>123</v>
      </c>
      <c r="H217" s="145">
        <v>125</v>
      </c>
      <c r="I217" s="145">
        <v>108</v>
      </c>
      <c r="J217" s="145">
        <v>102</v>
      </c>
      <c r="K217" s="145">
        <v>85</v>
      </c>
      <c r="L217" s="145">
        <v>70</v>
      </c>
      <c r="M217" s="146">
        <v>57</v>
      </c>
      <c r="N217" s="156">
        <f>AVERAGE(B217:M217)</f>
        <v>85.583333333333329</v>
      </c>
      <c r="O217" s="116"/>
      <c r="P217" s="116"/>
      <c r="Q217" s="116"/>
    </row>
    <row r="218" spans="1:17" ht="15.75" thickBot="1" x14ac:dyDescent="0.3">
      <c r="A218" s="132" t="s">
        <v>459</v>
      </c>
      <c r="B218" s="144">
        <v>115</v>
      </c>
      <c r="C218" s="145">
        <v>130</v>
      </c>
      <c r="D218" s="145">
        <v>141</v>
      </c>
      <c r="E218" s="145">
        <v>143</v>
      </c>
      <c r="F218" s="145">
        <v>125</v>
      </c>
      <c r="G218" s="145">
        <v>110</v>
      </c>
      <c r="H218" s="145">
        <v>110</v>
      </c>
      <c r="I218" s="145">
        <v>108</v>
      </c>
      <c r="J218" s="145">
        <v>107</v>
      </c>
      <c r="K218" s="145">
        <v>100</v>
      </c>
      <c r="L218" s="145">
        <v>103</v>
      </c>
      <c r="M218" s="146">
        <v>100</v>
      </c>
      <c r="N218" s="156">
        <f>AVERAGE(B218:M218)</f>
        <v>116</v>
      </c>
      <c r="O218" s="116"/>
      <c r="P218" s="116"/>
      <c r="Q218" s="116"/>
    </row>
    <row r="219" spans="1:17" ht="15.75" thickBot="1" x14ac:dyDescent="0.3">
      <c r="A219" s="132" t="s">
        <v>460</v>
      </c>
      <c r="B219" s="144">
        <v>48</v>
      </c>
      <c r="C219" s="145">
        <v>54</v>
      </c>
      <c r="D219" s="145">
        <v>64</v>
      </c>
      <c r="E219" s="145">
        <v>85</v>
      </c>
      <c r="F219" s="145">
        <v>108</v>
      </c>
      <c r="G219" s="145">
        <v>110</v>
      </c>
      <c r="H219" s="145">
        <v>112</v>
      </c>
      <c r="I219" s="145">
        <v>108</v>
      </c>
      <c r="J219" s="145">
        <v>100</v>
      </c>
      <c r="K219" s="145">
        <v>75</v>
      </c>
      <c r="L219" s="145">
        <v>60</v>
      </c>
      <c r="M219" s="146">
        <v>52</v>
      </c>
      <c r="N219" s="156">
        <f t="shared" ref="N219:N224" si="8">AVERAGE(B219:M219)</f>
        <v>81.333333333333329</v>
      </c>
      <c r="O219" s="116"/>
      <c r="P219" s="116"/>
      <c r="Q219" s="116"/>
    </row>
    <row r="220" spans="1:17" ht="15.75" thickBot="1" x14ac:dyDescent="0.3">
      <c r="A220" s="132" t="s">
        <v>461</v>
      </c>
      <c r="B220" s="144">
        <v>52</v>
      </c>
      <c r="C220" s="145">
        <v>68</v>
      </c>
      <c r="D220" s="145">
        <v>83</v>
      </c>
      <c r="E220" s="145">
        <v>103</v>
      </c>
      <c r="F220" s="145">
        <v>108</v>
      </c>
      <c r="G220" s="145">
        <v>100</v>
      </c>
      <c r="H220" s="145">
        <v>99</v>
      </c>
      <c r="I220" s="145">
        <v>98</v>
      </c>
      <c r="J220" s="145">
        <v>94</v>
      </c>
      <c r="K220" s="145">
        <v>76</v>
      </c>
      <c r="L220" s="145">
        <v>60</v>
      </c>
      <c r="M220" s="146">
        <v>52</v>
      </c>
      <c r="N220" s="156">
        <f t="shared" si="8"/>
        <v>82.75</v>
      </c>
      <c r="O220" s="116"/>
      <c r="P220" s="116"/>
      <c r="Q220" s="116"/>
    </row>
    <row r="221" spans="1:17" ht="15.75" thickBot="1" x14ac:dyDescent="0.3">
      <c r="A221" s="132" t="s">
        <v>462</v>
      </c>
      <c r="B221" s="144">
        <v>80</v>
      </c>
      <c r="C221" s="145">
        <v>95</v>
      </c>
      <c r="D221" s="145">
        <v>112</v>
      </c>
      <c r="E221" s="145">
        <v>125</v>
      </c>
      <c r="F221" s="145">
        <v>138</v>
      </c>
      <c r="G221" s="145">
        <v>139</v>
      </c>
      <c r="H221" s="145">
        <v>140</v>
      </c>
      <c r="I221" s="145">
        <v>131</v>
      </c>
      <c r="J221" s="145">
        <v>116</v>
      </c>
      <c r="K221" s="145">
        <v>95</v>
      </c>
      <c r="L221" s="145">
        <v>80</v>
      </c>
      <c r="M221" s="146">
        <v>72</v>
      </c>
      <c r="N221" s="156">
        <f t="shared" si="8"/>
        <v>110.25</v>
      </c>
      <c r="O221" s="116"/>
      <c r="P221" s="116"/>
      <c r="Q221" s="116"/>
    </row>
    <row r="222" spans="1:17" ht="15.75" thickBot="1" x14ac:dyDescent="0.3">
      <c r="A222" s="132" t="s">
        <v>463</v>
      </c>
      <c r="B222" s="144">
        <v>48</v>
      </c>
      <c r="C222" s="145">
        <v>54</v>
      </c>
      <c r="D222" s="145">
        <v>64</v>
      </c>
      <c r="E222" s="145">
        <v>90</v>
      </c>
      <c r="F222" s="145">
        <v>118</v>
      </c>
      <c r="G222" s="145">
        <v>135</v>
      </c>
      <c r="H222" s="145">
        <v>139</v>
      </c>
      <c r="I222" s="145">
        <v>120</v>
      </c>
      <c r="J222" s="145">
        <v>102</v>
      </c>
      <c r="K222" s="145">
        <v>78</v>
      </c>
      <c r="L222" s="145">
        <v>63</v>
      </c>
      <c r="M222" s="146">
        <v>55</v>
      </c>
      <c r="N222" s="156">
        <f t="shared" si="8"/>
        <v>88.833333333333329</v>
      </c>
      <c r="O222" s="116"/>
      <c r="P222" s="116"/>
      <c r="Q222" s="116"/>
    </row>
    <row r="223" spans="1:17" ht="15.75" thickBot="1" x14ac:dyDescent="0.3">
      <c r="A223" s="132" t="s">
        <v>464</v>
      </c>
      <c r="B223" s="144">
        <v>96</v>
      </c>
      <c r="C223" s="145">
        <v>110</v>
      </c>
      <c r="D223" s="145">
        <v>125</v>
      </c>
      <c r="E223" s="145">
        <v>125</v>
      </c>
      <c r="F223" s="145">
        <v>110</v>
      </c>
      <c r="G223" s="145">
        <v>94</v>
      </c>
      <c r="H223" s="145">
        <v>88</v>
      </c>
      <c r="I223" s="145">
        <v>81</v>
      </c>
      <c r="J223" s="145">
        <v>85</v>
      </c>
      <c r="K223" s="145">
        <v>86</v>
      </c>
      <c r="L223" s="145">
        <v>86</v>
      </c>
      <c r="M223" s="146">
        <v>85</v>
      </c>
      <c r="N223" s="156">
        <f t="shared" si="8"/>
        <v>97.583333333333329</v>
      </c>
      <c r="O223" s="116"/>
      <c r="P223" s="116"/>
      <c r="Q223" s="116"/>
    </row>
    <row r="224" spans="1:17" ht="15.75" thickBot="1" x14ac:dyDescent="0.3">
      <c r="A224" s="132" t="s">
        <v>465</v>
      </c>
      <c r="B224" s="144">
        <v>120</v>
      </c>
      <c r="C224" s="145">
        <v>135</v>
      </c>
      <c r="D224" s="145">
        <v>145</v>
      </c>
      <c r="E224" s="145">
        <v>147</v>
      </c>
      <c r="F224" s="145">
        <v>136</v>
      </c>
      <c r="G224" s="145">
        <v>120</v>
      </c>
      <c r="H224" s="145">
        <v>118</v>
      </c>
      <c r="I224" s="145">
        <v>114</v>
      </c>
      <c r="J224" s="145">
        <v>112</v>
      </c>
      <c r="K224" s="145">
        <v>107</v>
      </c>
      <c r="L224" s="145">
        <v>106</v>
      </c>
      <c r="M224" s="146">
        <v>104</v>
      </c>
      <c r="N224" s="156">
        <f t="shared" si="8"/>
        <v>122</v>
      </c>
      <c r="O224" s="116"/>
      <c r="P224" s="116"/>
      <c r="Q224" s="116"/>
    </row>
    <row r="225" spans="1:17" ht="15.75" thickBot="1" x14ac:dyDescent="0.3">
      <c r="A225" s="116"/>
      <c r="B225" s="116"/>
      <c r="C225" s="116"/>
      <c r="D225" s="116"/>
      <c r="E225" s="116"/>
      <c r="F225" s="116"/>
      <c r="G225" s="116"/>
      <c r="H225" s="116"/>
      <c r="I225" s="116"/>
      <c r="J225" s="116"/>
      <c r="K225" s="116"/>
      <c r="L225" s="116"/>
      <c r="M225" s="116"/>
      <c r="N225" s="116"/>
      <c r="O225" s="116"/>
      <c r="P225" s="116"/>
      <c r="Q225" s="116"/>
    </row>
    <row r="226" spans="1:17" ht="15.75" thickBot="1" x14ac:dyDescent="0.3">
      <c r="A226" s="116"/>
      <c r="B226" s="118" t="s">
        <v>377</v>
      </c>
      <c r="C226" s="119" t="s">
        <v>378</v>
      </c>
      <c r="D226" s="119" t="s">
        <v>379</v>
      </c>
      <c r="E226" s="119" t="s">
        <v>380</v>
      </c>
      <c r="F226" s="119" t="s">
        <v>381</v>
      </c>
      <c r="G226" s="119" t="s">
        <v>382</v>
      </c>
      <c r="H226" s="119" t="s">
        <v>383</v>
      </c>
      <c r="I226" s="119" t="s">
        <v>384</v>
      </c>
      <c r="J226" s="119" t="s">
        <v>385</v>
      </c>
      <c r="K226" s="119" t="s">
        <v>386</v>
      </c>
      <c r="L226" s="119" t="s">
        <v>387</v>
      </c>
      <c r="M226" s="120" t="s">
        <v>388</v>
      </c>
      <c r="N226" s="121" t="s">
        <v>389</v>
      </c>
      <c r="O226" s="116"/>
      <c r="P226" s="116"/>
      <c r="Q226" s="116"/>
    </row>
    <row r="227" spans="1:17" ht="15.75" thickBot="1" x14ac:dyDescent="0.3">
      <c r="A227" s="122" t="s">
        <v>390</v>
      </c>
      <c r="B227" s="144">
        <v>51</v>
      </c>
      <c r="C227" s="145">
        <v>52</v>
      </c>
      <c r="D227" s="145">
        <v>60</v>
      </c>
      <c r="E227" s="145">
        <v>80</v>
      </c>
      <c r="F227" s="145">
        <v>115</v>
      </c>
      <c r="G227" s="145">
        <v>123</v>
      </c>
      <c r="H227" s="145">
        <v>125</v>
      </c>
      <c r="I227" s="145">
        <v>108</v>
      </c>
      <c r="J227" s="145">
        <v>102</v>
      </c>
      <c r="K227" s="145">
        <v>85</v>
      </c>
      <c r="L227" s="145">
        <v>70</v>
      </c>
      <c r="M227" s="146">
        <v>57</v>
      </c>
      <c r="N227" s="156">
        <f>AVERAGE(B227:M227)</f>
        <v>85.666666666666671</v>
      </c>
      <c r="O227" s="116" t="s">
        <v>458</v>
      </c>
      <c r="P227" s="116"/>
      <c r="Q227" s="116"/>
    </row>
    <row r="228" spans="1:17" ht="15.75" thickBot="1" x14ac:dyDescent="0.3">
      <c r="A228" s="127" t="s">
        <v>391</v>
      </c>
      <c r="B228" s="144">
        <v>48</v>
      </c>
      <c r="C228" s="145">
        <v>54</v>
      </c>
      <c r="D228" s="145">
        <v>64</v>
      </c>
      <c r="E228" s="145">
        <v>85</v>
      </c>
      <c r="F228" s="145">
        <v>108</v>
      </c>
      <c r="G228" s="145">
        <v>110</v>
      </c>
      <c r="H228" s="145">
        <v>112</v>
      </c>
      <c r="I228" s="145">
        <v>108</v>
      </c>
      <c r="J228" s="145">
        <v>100</v>
      </c>
      <c r="K228" s="145">
        <v>75</v>
      </c>
      <c r="L228" s="145">
        <v>60</v>
      </c>
      <c r="M228" s="146">
        <v>52</v>
      </c>
      <c r="N228" s="156">
        <f t="shared" ref="N228:N290" si="9">AVERAGE(B228:M228)</f>
        <v>81.333333333333329</v>
      </c>
      <c r="O228" s="116" t="s">
        <v>460</v>
      </c>
      <c r="P228" s="116"/>
      <c r="Q228" s="116"/>
    </row>
    <row r="229" spans="1:17" ht="15.75" thickBot="1" x14ac:dyDescent="0.3">
      <c r="A229" s="127" t="s">
        <v>392</v>
      </c>
      <c r="B229" s="144">
        <v>48</v>
      </c>
      <c r="C229" s="145">
        <v>54</v>
      </c>
      <c r="D229" s="145">
        <v>64</v>
      </c>
      <c r="E229" s="145">
        <v>85</v>
      </c>
      <c r="F229" s="145">
        <v>108</v>
      </c>
      <c r="G229" s="145">
        <v>110</v>
      </c>
      <c r="H229" s="145">
        <v>112</v>
      </c>
      <c r="I229" s="145">
        <v>108</v>
      </c>
      <c r="J229" s="145">
        <v>100</v>
      </c>
      <c r="K229" s="145">
        <v>75</v>
      </c>
      <c r="L229" s="145">
        <v>60</v>
      </c>
      <c r="M229" s="146">
        <v>52</v>
      </c>
      <c r="N229" s="156">
        <f t="shared" si="9"/>
        <v>81.333333333333329</v>
      </c>
      <c r="O229" s="116" t="s">
        <v>460</v>
      </c>
      <c r="P229" s="116"/>
      <c r="Q229" s="116"/>
    </row>
    <row r="230" spans="1:17" ht="15.75" thickBot="1" x14ac:dyDescent="0.3">
      <c r="A230" s="127" t="s">
        <v>393</v>
      </c>
      <c r="B230" s="144">
        <v>96</v>
      </c>
      <c r="C230" s="145">
        <v>110</v>
      </c>
      <c r="D230" s="145">
        <v>125</v>
      </c>
      <c r="E230" s="145">
        <v>125</v>
      </c>
      <c r="F230" s="145">
        <v>110</v>
      </c>
      <c r="G230" s="145">
        <v>94</v>
      </c>
      <c r="H230" s="145">
        <v>88</v>
      </c>
      <c r="I230" s="145">
        <v>81</v>
      </c>
      <c r="J230" s="145">
        <v>85</v>
      </c>
      <c r="K230" s="145">
        <v>86</v>
      </c>
      <c r="L230" s="145">
        <v>86</v>
      </c>
      <c r="M230" s="146">
        <v>85</v>
      </c>
      <c r="N230" s="156">
        <f t="shared" si="9"/>
        <v>97.583333333333329</v>
      </c>
      <c r="O230" s="116" t="s">
        <v>464</v>
      </c>
      <c r="P230" s="116"/>
      <c r="Q230" s="116"/>
    </row>
    <row r="231" spans="1:17" ht="15.75" thickBot="1" x14ac:dyDescent="0.3">
      <c r="A231" s="127" t="s">
        <v>394</v>
      </c>
      <c r="B231" s="144">
        <v>115</v>
      </c>
      <c r="C231" s="145">
        <v>130</v>
      </c>
      <c r="D231" s="145">
        <v>141</v>
      </c>
      <c r="E231" s="145">
        <v>143</v>
      </c>
      <c r="F231" s="145">
        <v>125</v>
      </c>
      <c r="G231" s="145">
        <v>110</v>
      </c>
      <c r="H231" s="145">
        <v>110</v>
      </c>
      <c r="I231" s="145">
        <v>108</v>
      </c>
      <c r="J231" s="145">
        <v>107</v>
      </c>
      <c r="K231" s="145">
        <v>100</v>
      </c>
      <c r="L231" s="145">
        <v>103</v>
      </c>
      <c r="M231" s="146">
        <v>100</v>
      </c>
      <c r="N231" s="156">
        <f t="shared" si="9"/>
        <v>116</v>
      </c>
      <c r="O231" s="116" t="s">
        <v>459</v>
      </c>
      <c r="P231" s="116"/>
      <c r="Q231" s="116"/>
    </row>
    <row r="232" spans="1:17" ht="15.75" thickBot="1" x14ac:dyDescent="0.3">
      <c r="A232" s="127" t="s">
        <v>395</v>
      </c>
      <c r="B232" s="144">
        <v>80</v>
      </c>
      <c r="C232" s="145">
        <v>95</v>
      </c>
      <c r="D232" s="145">
        <v>112</v>
      </c>
      <c r="E232" s="145">
        <v>125</v>
      </c>
      <c r="F232" s="145">
        <v>138</v>
      </c>
      <c r="G232" s="145">
        <v>139</v>
      </c>
      <c r="H232" s="145">
        <v>140</v>
      </c>
      <c r="I232" s="145">
        <v>131</v>
      </c>
      <c r="J232" s="145">
        <v>116</v>
      </c>
      <c r="K232" s="145">
        <v>95</v>
      </c>
      <c r="L232" s="145">
        <v>80</v>
      </c>
      <c r="M232" s="146">
        <v>72</v>
      </c>
      <c r="N232" s="156">
        <f t="shared" si="9"/>
        <v>110.25</v>
      </c>
      <c r="O232" s="116" t="s">
        <v>462</v>
      </c>
      <c r="P232" s="116"/>
      <c r="Q232" s="116"/>
    </row>
    <row r="233" spans="1:17" ht="15.75" thickBot="1" x14ac:dyDescent="0.3">
      <c r="A233" s="127" t="s">
        <v>396</v>
      </c>
      <c r="B233" s="144">
        <v>115</v>
      </c>
      <c r="C233" s="145">
        <v>130</v>
      </c>
      <c r="D233" s="145">
        <v>141</v>
      </c>
      <c r="E233" s="145">
        <v>143</v>
      </c>
      <c r="F233" s="145">
        <v>125</v>
      </c>
      <c r="G233" s="145">
        <v>110</v>
      </c>
      <c r="H233" s="145">
        <v>110</v>
      </c>
      <c r="I233" s="145">
        <v>108</v>
      </c>
      <c r="J233" s="145">
        <v>107</v>
      </c>
      <c r="K233" s="145">
        <v>100</v>
      </c>
      <c r="L233" s="145">
        <v>103</v>
      </c>
      <c r="M233" s="146">
        <v>100</v>
      </c>
      <c r="N233" s="156">
        <f t="shared" si="9"/>
        <v>116</v>
      </c>
      <c r="O233" s="116" t="s">
        <v>459</v>
      </c>
      <c r="P233" s="116"/>
      <c r="Q233" s="116"/>
    </row>
    <row r="234" spans="1:17" ht="15.75" thickBot="1" x14ac:dyDescent="0.3">
      <c r="A234" s="127" t="s">
        <v>397</v>
      </c>
      <c r="B234" s="144">
        <v>115</v>
      </c>
      <c r="C234" s="145">
        <v>130</v>
      </c>
      <c r="D234" s="145">
        <v>141</v>
      </c>
      <c r="E234" s="145">
        <v>143</v>
      </c>
      <c r="F234" s="145">
        <v>125</v>
      </c>
      <c r="G234" s="145">
        <v>110</v>
      </c>
      <c r="H234" s="145">
        <v>110</v>
      </c>
      <c r="I234" s="145">
        <v>108</v>
      </c>
      <c r="J234" s="145">
        <v>107</v>
      </c>
      <c r="K234" s="145">
        <v>100</v>
      </c>
      <c r="L234" s="145">
        <v>103</v>
      </c>
      <c r="M234" s="146">
        <v>100</v>
      </c>
      <c r="N234" s="156">
        <f t="shared" si="9"/>
        <v>116</v>
      </c>
      <c r="O234" s="116" t="s">
        <v>459</v>
      </c>
      <c r="P234" s="116"/>
      <c r="Q234" s="116"/>
    </row>
    <row r="235" spans="1:17" ht="15.75" thickBot="1" x14ac:dyDescent="0.3">
      <c r="A235" s="127" t="s">
        <v>398</v>
      </c>
      <c r="B235" s="144">
        <v>48</v>
      </c>
      <c r="C235" s="145">
        <v>54</v>
      </c>
      <c r="D235" s="145">
        <v>64</v>
      </c>
      <c r="E235" s="145">
        <v>85</v>
      </c>
      <c r="F235" s="145">
        <v>108</v>
      </c>
      <c r="G235" s="145">
        <v>110</v>
      </c>
      <c r="H235" s="145">
        <v>112</v>
      </c>
      <c r="I235" s="145">
        <v>108</v>
      </c>
      <c r="J235" s="145">
        <v>100</v>
      </c>
      <c r="K235" s="145">
        <v>75</v>
      </c>
      <c r="L235" s="145">
        <v>60</v>
      </c>
      <c r="M235" s="146">
        <v>52</v>
      </c>
      <c r="N235" s="156">
        <f t="shared" si="9"/>
        <v>81.333333333333329</v>
      </c>
      <c r="O235" s="116" t="s">
        <v>460</v>
      </c>
      <c r="P235" s="116"/>
      <c r="Q235" s="116"/>
    </row>
    <row r="236" spans="1:17" ht="15.75" thickBot="1" x14ac:dyDescent="0.3">
      <c r="A236" s="127" t="s">
        <v>399</v>
      </c>
      <c r="B236" s="144">
        <v>115</v>
      </c>
      <c r="C236" s="145">
        <v>130</v>
      </c>
      <c r="D236" s="145">
        <v>141</v>
      </c>
      <c r="E236" s="145">
        <v>143</v>
      </c>
      <c r="F236" s="145">
        <v>125</v>
      </c>
      <c r="G236" s="145">
        <v>110</v>
      </c>
      <c r="H236" s="145">
        <v>110</v>
      </c>
      <c r="I236" s="145">
        <v>108</v>
      </c>
      <c r="J236" s="145">
        <v>107</v>
      </c>
      <c r="K236" s="145">
        <v>100</v>
      </c>
      <c r="L236" s="145">
        <v>103</v>
      </c>
      <c r="M236" s="146">
        <v>100</v>
      </c>
      <c r="N236" s="156">
        <f t="shared" si="9"/>
        <v>116</v>
      </c>
      <c r="O236" s="116" t="s">
        <v>459</v>
      </c>
      <c r="P236" s="116"/>
      <c r="Q236" s="116"/>
    </row>
    <row r="237" spans="1:17" ht="15.75" thickBot="1" x14ac:dyDescent="0.3">
      <c r="A237" s="127" t="s">
        <v>400</v>
      </c>
      <c r="B237" s="144">
        <v>115</v>
      </c>
      <c r="C237" s="145">
        <v>130</v>
      </c>
      <c r="D237" s="145">
        <v>141</v>
      </c>
      <c r="E237" s="145">
        <v>143</v>
      </c>
      <c r="F237" s="145">
        <v>125</v>
      </c>
      <c r="G237" s="145">
        <v>110</v>
      </c>
      <c r="H237" s="145">
        <v>110</v>
      </c>
      <c r="I237" s="145">
        <v>108</v>
      </c>
      <c r="J237" s="145">
        <v>107</v>
      </c>
      <c r="K237" s="145">
        <v>100</v>
      </c>
      <c r="L237" s="145">
        <v>103</v>
      </c>
      <c r="M237" s="146">
        <v>100</v>
      </c>
      <c r="N237" s="156">
        <f t="shared" si="9"/>
        <v>116</v>
      </c>
      <c r="O237" s="116" t="s">
        <v>459</v>
      </c>
      <c r="P237" s="116"/>
      <c r="Q237" s="116"/>
    </row>
    <row r="238" spans="1:17" ht="15.75" thickBot="1" x14ac:dyDescent="0.3">
      <c r="A238" s="127" t="s">
        <v>401</v>
      </c>
      <c r="B238" s="144">
        <v>120</v>
      </c>
      <c r="C238" s="145">
        <v>135</v>
      </c>
      <c r="D238" s="145">
        <v>145</v>
      </c>
      <c r="E238" s="145">
        <v>147</v>
      </c>
      <c r="F238" s="145">
        <v>136</v>
      </c>
      <c r="G238" s="145">
        <v>120</v>
      </c>
      <c r="H238" s="145">
        <v>118</v>
      </c>
      <c r="I238" s="145">
        <v>114</v>
      </c>
      <c r="J238" s="145">
        <v>112</v>
      </c>
      <c r="K238" s="145">
        <v>107</v>
      </c>
      <c r="L238" s="145">
        <v>106</v>
      </c>
      <c r="M238" s="146">
        <v>104</v>
      </c>
      <c r="N238" s="156">
        <f t="shared" si="9"/>
        <v>122</v>
      </c>
      <c r="O238" s="116" t="s">
        <v>465</v>
      </c>
      <c r="P238" s="116"/>
      <c r="Q238" s="116"/>
    </row>
    <row r="239" spans="1:17" ht="15.75" thickBot="1" x14ac:dyDescent="0.3">
      <c r="A239" s="127" t="s">
        <v>402</v>
      </c>
      <c r="B239" s="144">
        <v>51</v>
      </c>
      <c r="C239" s="145">
        <v>52</v>
      </c>
      <c r="D239" s="145">
        <v>60</v>
      </c>
      <c r="E239" s="145">
        <v>80</v>
      </c>
      <c r="F239" s="145">
        <v>115</v>
      </c>
      <c r="G239" s="145">
        <v>123</v>
      </c>
      <c r="H239" s="145">
        <v>125</v>
      </c>
      <c r="I239" s="145">
        <v>108</v>
      </c>
      <c r="J239" s="145">
        <v>102</v>
      </c>
      <c r="K239" s="145">
        <v>85</v>
      </c>
      <c r="L239" s="145">
        <v>70</v>
      </c>
      <c r="M239" s="146">
        <v>57</v>
      </c>
      <c r="N239" s="156">
        <f t="shared" si="9"/>
        <v>85.666666666666671</v>
      </c>
      <c r="O239" s="116" t="s">
        <v>458</v>
      </c>
      <c r="P239" s="116"/>
      <c r="Q239" s="116"/>
    </row>
    <row r="240" spans="1:17" ht="15.75" thickBot="1" x14ac:dyDescent="0.3">
      <c r="A240" s="127" t="s">
        <v>403</v>
      </c>
      <c r="B240" s="144">
        <v>96</v>
      </c>
      <c r="C240" s="145">
        <v>110</v>
      </c>
      <c r="D240" s="145">
        <v>125</v>
      </c>
      <c r="E240" s="145">
        <v>125</v>
      </c>
      <c r="F240" s="145">
        <v>110</v>
      </c>
      <c r="G240" s="145">
        <v>94</v>
      </c>
      <c r="H240" s="145">
        <v>88</v>
      </c>
      <c r="I240" s="145">
        <v>81</v>
      </c>
      <c r="J240" s="145">
        <v>85</v>
      </c>
      <c r="K240" s="145">
        <v>86</v>
      </c>
      <c r="L240" s="145">
        <v>86</v>
      </c>
      <c r="M240" s="146">
        <v>85</v>
      </c>
      <c r="N240" s="156">
        <f t="shared" si="9"/>
        <v>97.583333333333329</v>
      </c>
      <c r="O240" s="116" t="s">
        <v>464</v>
      </c>
      <c r="P240" s="116"/>
      <c r="Q240" s="116"/>
    </row>
    <row r="241" spans="1:17" ht="15.75" thickBot="1" x14ac:dyDescent="0.3">
      <c r="A241" s="127" t="s">
        <v>404</v>
      </c>
      <c r="B241" s="144">
        <v>80</v>
      </c>
      <c r="C241" s="145">
        <v>95</v>
      </c>
      <c r="D241" s="145">
        <v>112</v>
      </c>
      <c r="E241" s="145">
        <v>125</v>
      </c>
      <c r="F241" s="145">
        <v>138</v>
      </c>
      <c r="G241" s="145">
        <v>139</v>
      </c>
      <c r="H241" s="145">
        <v>140</v>
      </c>
      <c r="I241" s="145">
        <v>131</v>
      </c>
      <c r="J241" s="145">
        <v>116</v>
      </c>
      <c r="K241" s="145">
        <v>95</v>
      </c>
      <c r="L241" s="145">
        <v>80</v>
      </c>
      <c r="M241" s="146">
        <v>72</v>
      </c>
      <c r="N241" s="156">
        <f t="shared" si="9"/>
        <v>110.25</v>
      </c>
      <c r="O241" s="116" t="s">
        <v>462</v>
      </c>
      <c r="P241" s="116"/>
      <c r="Q241" s="116"/>
    </row>
    <row r="242" spans="1:17" ht="15.75" thickBot="1" x14ac:dyDescent="0.3">
      <c r="A242" s="127" t="s">
        <v>405</v>
      </c>
      <c r="B242" s="144">
        <v>52</v>
      </c>
      <c r="C242" s="145">
        <v>68</v>
      </c>
      <c r="D242" s="145">
        <v>83</v>
      </c>
      <c r="E242" s="145">
        <v>103</v>
      </c>
      <c r="F242" s="145">
        <v>108</v>
      </c>
      <c r="G242" s="145">
        <v>100</v>
      </c>
      <c r="H242" s="145">
        <v>99</v>
      </c>
      <c r="I242" s="145">
        <v>98</v>
      </c>
      <c r="J242" s="145">
        <v>94</v>
      </c>
      <c r="K242" s="145">
        <v>76</v>
      </c>
      <c r="L242" s="145">
        <v>60</v>
      </c>
      <c r="M242" s="146">
        <v>52</v>
      </c>
      <c r="N242" s="156">
        <f t="shared" si="9"/>
        <v>82.75</v>
      </c>
      <c r="O242" s="116" t="s">
        <v>461</v>
      </c>
      <c r="P242" s="116"/>
      <c r="Q242" s="116"/>
    </row>
    <row r="243" spans="1:17" ht="15.75" thickBot="1" x14ac:dyDescent="0.3">
      <c r="A243" s="127" t="s">
        <v>406</v>
      </c>
      <c r="B243" s="144">
        <v>48</v>
      </c>
      <c r="C243" s="145">
        <v>54</v>
      </c>
      <c r="D243" s="145">
        <v>64</v>
      </c>
      <c r="E243" s="145">
        <v>90</v>
      </c>
      <c r="F243" s="145">
        <v>118</v>
      </c>
      <c r="G243" s="145">
        <v>135</v>
      </c>
      <c r="H243" s="145">
        <v>139</v>
      </c>
      <c r="I243" s="145">
        <v>120</v>
      </c>
      <c r="J243" s="145">
        <v>102</v>
      </c>
      <c r="K243" s="145">
        <v>78</v>
      </c>
      <c r="L243" s="145">
        <v>63</v>
      </c>
      <c r="M243" s="146">
        <v>55</v>
      </c>
      <c r="N243" s="156">
        <f t="shared" si="9"/>
        <v>88.833333333333329</v>
      </c>
      <c r="O243" s="116" t="s">
        <v>463</v>
      </c>
      <c r="P243" s="116"/>
      <c r="Q243" s="116"/>
    </row>
    <row r="244" spans="1:17" ht="15.75" thickBot="1" x14ac:dyDescent="0.3">
      <c r="A244" s="127" t="s">
        <v>407</v>
      </c>
      <c r="B244" s="144">
        <v>48</v>
      </c>
      <c r="C244" s="145">
        <v>54</v>
      </c>
      <c r="D244" s="145">
        <v>64</v>
      </c>
      <c r="E244" s="145">
        <v>90</v>
      </c>
      <c r="F244" s="145">
        <v>118</v>
      </c>
      <c r="G244" s="145">
        <v>135</v>
      </c>
      <c r="H244" s="145">
        <v>139</v>
      </c>
      <c r="I244" s="145">
        <v>120</v>
      </c>
      <c r="J244" s="145">
        <v>102</v>
      </c>
      <c r="K244" s="145">
        <v>78</v>
      </c>
      <c r="L244" s="145">
        <v>63</v>
      </c>
      <c r="M244" s="146">
        <v>55</v>
      </c>
      <c r="N244" s="156">
        <f t="shared" si="9"/>
        <v>88.833333333333329</v>
      </c>
      <c r="O244" s="116" t="s">
        <v>463</v>
      </c>
      <c r="P244" s="116"/>
      <c r="Q244" s="116"/>
    </row>
    <row r="245" spans="1:17" ht="15.75" thickBot="1" x14ac:dyDescent="0.3">
      <c r="A245" s="127" t="s">
        <v>408</v>
      </c>
      <c r="B245" s="144">
        <v>51</v>
      </c>
      <c r="C245" s="145">
        <v>52</v>
      </c>
      <c r="D245" s="145">
        <v>60</v>
      </c>
      <c r="E245" s="145">
        <v>80</v>
      </c>
      <c r="F245" s="145">
        <v>115</v>
      </c>
      <c r="G245" s="145">
        <v>123</v>
      </c>
      <c r="H245" s="145">
        <v>125</v>
      </c>
      <c r="I245" s="145">
        <v>108</v>
      </c>
      <c r="J245" s="145">
        <v>102</v>
      </c>
      <c r="K245" s="145">
        <v>85</v>
      </c>
      <c r="L245" s="145">
        <v>70</v>
      </c>
      <c r="M245" s="146">
        <v>57</v>
      </c>
      <c r="N245" s="156">
        <f t="shared" si="9"/>
        <v>85.666666666666671</v>
      </c>
      <c r="O245" s="116" t="s">
        <v>458</v>
      </c>
      <c r="P245" s="116"/>
      <c r="Q245" s="116"/>
    </row>
    <row r="246" spans="1:17" ht="15.75" thickBot="1" x14ac:dyDescent="0.3">
      <c r="A246" s="127" t="s">
        <v>409</v>
      </c>
      <c r="B246" s="144">
        <v>48</v>
      </c>
      <c r="C246" s="145">
        <v>54</v>
      </c>
      <c r="D246" s="145">
        <v>64</v>
      </c>
      <c r="E246" s="145">
        <v>85</v>
      </c>
      <c r="F246" s="145">
        <v>108</v>
      </c>
      <c r="G246" s="145">
        <v>110</v>
      </c>
      <c r="H246" s="145">
        <v>112</v>
      </c>
      <c r="I246" s="145">
        <v>108</v>
      </c>
      <c r="J246" s="145">
        <v>100</v>
      </c>
      <c r="K246" s="145">
        <v>75</v>
      </c>
      <c r="L246" s="145">
        <v>60</v>
      </c>
      <c r="M246" s="146">
        <v>52</v>
      </c>
      <c r="N246" s="156">
        <f t="shared" si="9"/>
        <v>81.333333333333329</v>
      </c>
      <c r="O246" s="116" t="s">
        <v>460</v>
      </c>
      <c r="P246" s="116"/>
      <c r="Q246" s="116"/>
    </row>
    <row r="247" spans="1:17" ht="15.75" thickBot="1" x14ac:dyDescent="0.3">
      <c r="A247" s="127" t="s">
        <v>410</v>
      </c>
      <c r="B247" s="144">
        <v>51</v>
      </c>
      <c r="C247" s="145">
        <v>52</v>
      </c>
      <c r="D247" s="145">
        <v>60</v>
      </c>
      <c r="E247" s="145">
        <v>80</v>
      </c>
      <c r="F247" s="145">
        <v>115</v>
      </c>
      <c r="G247" s="145">
        <v>123</v>
      </c>
      <c r="H247" s="145">
        <v>125</v>
      </c>
      <c r="I247" s="145">
        <v>108</v>
      </c>
      <c r="J247" s="145">
        <v>102</v>
      </c>
      <c r="K247" s="145">
        <v>85</v>
      </c>
      <c r="L247" s="145">
        <v>70</v>
      </c>
      <c r="M247" s="146">
        <v>57</v>
      </c>
      <c r="N247" s="156">
        <f t="shared" si="9"/>
        <v>85.666666666666671</v>
      </c>
      <c r="O247" s="116" t="s">
        <v>458</v>
      </c>
      <c r="P247" s="116"/>
      <c r="Q247" s="116"/>
    </row>
    <row r="248" spans="1:17" ht="15.75" thickBot="1" x14ac:dyDescent="0.3">
      <c r="A248" s="127" t="s">
        <v>411</v>
      </c>
      <c r="B248" s="144">
        <v>48</v>
      </c>
      <c r="C248" s="145">
        <v>54</v>
      </c>
      <c r="D248" s="145">
        <v>64</v>
      </c>
      <c r="E248" s="145">
        <v>90</v>
      </c>
      <c r="F248" s="145">
        <v>118</v>
      </c>
      <c r="G248" s="145">
        <v>135</v>
      </c>
      <c r="H248" s="145">
        <v>139</v>
      </c>
      <c r="I248" s="145">
        <v>120</v>
      </c>
      <c r="J248" s="145">
        <v>102</v>
      </c>
      <c r="K248" s="145">
        <v>78</v>
      </c>
      <c r="L248" s="145">
        <v>63</v>
      </c>
      <c r="M248" s="146">
        <v>55</v>
      </c>
      <c r="N248" s="156">
        <f t="shared" si="9"/>
        <v>88.833333333333329</v>
      </c>
      <c r="O248" s="116" t="s">
        <v>463</v>
      </c>
      <c r="P248" s="116"/>
      <c r="Q248" s="116"/>
    </row>
    <row r="249" spans="1:17" ht="15.75" thickBot="1" x14ac:dyDescent="0.3">
      <c r="A249" s="127" t="s">
        <v>412</v>
      </c>
      <c r="B249" s="144">
        <v>51</v>
      </c>
      <c r="C249" s="145">
        <v>52</v>
      </c>
      <c r="D249" s="145">
        <v>60</v>
      </c>
      <c r="E249" s="145">
        <v>80</v>
      </c>
      <c r="F249" s="145">
        <v>115</v>
      </c>
      <c r="G249" s="145">
        <v>123</v>
      </c>
      <c r="H249" s="145">
        <v>125</v>
      </c>
      <c r="I249" s="145">
        <v>108</v>
      </c>
      <c r="J249" s="145">
        <v>102</v>
      </c>
      <c r="K249" s="145">
        <v>85</v>
      </c>
      <c r="L249" s="145">
        <v>70</v>
      </c>
      <c r="M249" s="146">
        <v>57</v>
      </c>
      <c r="N249" s="156">
        <f t="shared" si="9"/>
        <v>85.666666666666671</v>
      </c>
      <c r="O249" s="116" t="s">
        <v>458</v>
      </c>
      <c r="P249" s="116"/>
      <c r="Q249" s="116"/>
    </row>
    <row r="250" spans="1:17" ht="15.75" thickBot="1" x14ac:dyDescent="0.3">
      <c r="A250" s="127" t="s">
        <v>413</v>
      </c>
      <c r="B250" s="144">
        <v>52</v>
      </c>
      <c r="C250" s="145">
        <v>68</v>
      </c>
      <c r="D250" s="145">
        <v>83</v>
      </c>
      <c r="E250" s="145">
        <v>103</v>
      </c>
      <c r="F250" s="145">
        <v>108</v>
      </c>
      <c r="G250" s="145">
        <v>100</v>
      </c>
      <c r="H250" s="145">
        <v>99</v>
      </c>
      <c r="I250" s="145">
        <v>98</v>
      </c>
      <c r="J250" s="145">
        <v>94</v>
      </c>
      <c r="K250" s="145">
        <v>76</v>
      </c>
      <c r="L250" s="145">
        <v>60</v>
      </c>
      <c r="M250" s="146">
        <v>52</v>
      </c>
      <c r="N250" s="156">
        <f t="shared" si="9"/>
        <v>82.75</v>
      </c>
      <c r="O250" s="116" t="s">
        <v>461</v>
      </c>
      <c r="P250" s="116"/>
      <c r="Q250" s="116"/>
    </row>
    <row r="251" spans="1:17" ht="15.75" thickBot="1" x14ac:dyDescent="0.3">
      <c r="A251" s="127" t="s">
        <v>414</v>
      </c>
      <c r="B251" s="144">
        <v>48</v>
      </c>
      <c r="C251" s="145">
        <v>54</v>
      </c>
      <c r="D251" s="145">
        <v>64</v>
      </c>
      <c r="E251" s="145">
        <v>85</v>
      </c>
      <c r="F251" s="145">
        <v>108</v>
      </c>
      <c r="G251" s="145">
        <v>110</v>
      </c>
      <c r="H251" s="145">
        <v>112</v>
      </c>
      <c r="I251" s="145">
        <v>108</v>
      </c>
      <c r="J251" s="145">
        <v>100</v>
      </c>
      <c r="K251" s="145">
        <v>75</v>
      </c>
      <c r="L251" s="145">
        <v>60</v>
      </c>
      <c r="M251" s="146">
        <v>52</v>
      </c>
      <c r="N251" s="156">
        <f t="shared" si="9"/>
        <v>81.333333333333329</v>
      </c>
      <c r="O251" s="116" t="s">
        <v>460</v>
      </c>
      <c r="P251" s="116"/>
      <c r="Q251" s="116"/>
    </row>
    <row r="252" spans="1:17" ht="15.75" thickBot="1" x14ac:dyDescent="0.3">
      <c r="A252" s="127" t="s">
        <v>415</v>
      </c>
      <c r="B252" s="144">
        <v>48</v>
      </c>
      <c r="C252" s="145">
        <v>54</v>
      </c>
      <c r="D252" s="145">
        <v>64</v>
      </c>
      <c r="E252" s="145">
        <v>85</v>
      </c>
      <c r="F252" s="145">
        <v>108</v>
      </c>
      <c r="G252" s="145">
        <v>110</v>
      </c>
      <c r="H252" s="145">
        <v>112</v>
      </c>
      <c r="I252" s="145">
        <v>108</v>
      </c>
      <c r="J252" s="145">
        <v>100</v>
      </c>
      <c r="K252" s="145">
        <v>75</v>
      </c>
      <c r="L252" s="145">
        <v>60</v>
      </c>
      <c r="M252" s="146">
        <v>52</v>
      </c>
      <c r="N252" s="156">
        <f t="shared" si="9"/>
        <v>81.333333333333329</v>
      </c>
      <c r="O252" s="116" t="s">
        <v>460</v>
      </c>
      <c r="P252" s="116"/>
      <c r="Q252" s="116"/>
    </row>
    <row r="253" spans="1:17" ht="15.75" thickBot="1" x14ac:dyDescent="0.3">
      <c r="A253" s="127" t="s">
        <v>416</v>
      </c>
      <c r="B253" s="144">
        <v>48</v>
      </c>
      <c r="C253" s="145">
        <v>54</v>
      </c>
      <c r="D253" s="145">
        <v>64</v>
      </c>
      <c r="E253" s="145">
        <v>90</v>
      </c>
      <c r="F253" s="145">
        <v>118</v>
      </c>
      <c r="G253" s="145">
        <v>135</v>
      </c>
      <c r="H253" s="145">
        <v>139</v>
      </c>
      <c r="I253" s="145">
        <v>120</v>
      </c>
      <c r="J253" s="145">
        <v>102</v>
      </c>
      <c r="K253" s="145">
        <v>78</v>
      </c>
      <c r="L253" s="145">
        <v>63</v>
      </c>
      <c r="M253" s="146">
        <v>55</v>
      </c>
      <c r="N253" s="156">
        <f t="shared" si="9"/>
        <v>88.833333333333329</v>
      </c>
      <c r="O253" s="116" t="s">
        <v>463</v>
      </c>
      <c r="P253" s="116"/>
      <c r="Q253" s="116"/>
    </row>
    <row r="254" spans="1:17" ht="15.75" thickBot="1" x14ac:dyDescent="0.3">
      <c r="A254" s="127" t="s">
        <v>417</v>
      </c>
      <c r="B254" s="144">
        <v>51</v>
      </c>
      <c r="C254" s="145">
        <v>52</v>
      </c>
      <c r="D254" s="145">
        <v>60</v>
      </c>
      <c r="E254" s="145">
        <v>80</v>
      </c>
      <c r="F254" s="145">
        <v>115</v>
      </c>
      <c r="G254" s="145">
        <v>123</v>
      </c>
      <c r="H254" s="145">
        <v>125</v>
      </c>
      <c r="I254" s="145">
        <v>108</v>
      </c>
      <c r="J254" s="145">
        <v>102</v>
      </c>
      <c r="K254" s="145">
        <v>85</v>
      </c>
      <c r="L254" s="145">
        <v>70</v>
      </c>
      <c r="M254" s="146">
        <v>57</v>
      </c>
      <c r="N254" s="156">
        <f t="shared" si="9"/>
        <v>85.666666666666671</v>
      </c>
      <c r="O254" s="116" t="s">
        <v>458</v>
      </c>
      <c r="P254" s="116"/>
      <c r="Q254" s="116"/>
    </row>
    <row r="255" spans="1:17" ht="15.75" thickBot="1" x14ac:dyDescent="0.3">
      <c r="A255" s="127" t="s">
        <v>418</v>
      </c>
      <c r="B255" s="144">
        <v>96</v>
      </c>
      <c r="C255" s="145">
        <v>110</v>
      </c>
      <c r="D255" s="145">
        <v>125</v>
      </c>
      <c r="E255" s="145">
        <v>125</v>
      </c>
      <c r="F255" s="145">
        <v>110</v>
      </c>
      <c r="G255" s="145">
        <v>94</v>
      </c>
      <c r="H255" s="145">
        <v>88</v>
      </c>
      <c r="I255" s="145">
        <v>81</v>
      </c>
      <c r="J255" s="145">
        <v>85</v>
      </c>
      <c r="K255" s="145">
        <v>86</v>
      </c>
      <c r="L255" s="145">
        <v>86</v>
      </c>
      <c r="M255" s="146">
        <v>85</v>
      </c>
      <c r="N255" s="156">
        <f t="shared" si="9"/>
        <v>97.583333333333329</v>
      </c>
      <c r="O255" s="116" t="s">
        <v>464</v>
      </c>
      <c r="P255" s="116"/>
      <c r="Q255" s="116"/>
    </row>
    <row r="256" spans="1:17" ht="15.75" thickBot="1" x14ac:dyDescent="0.3">
      <c r="A256" s="127" t="s">
        <v>419</v>
      </c>
      <c r="B256" s="144">
        <v>52</v>
      </c>
      <c r="C256" s="145">
        <v>68</v>
      </c>
      <c r="D256" s="145">
        <v>83</v>
      </c>
      <c r="E256" s="145">
        <v>103</v>
      </c>
      <c r="F256" s="145">
        <v>108</v>
      </c>
      <c r="G256" s="145">
        <v>100</v>
      </c>
      <c r="H256" s="145">
        <v>99</v>
      </c>
      <c r="I256" s="145">
        <v>98</v>
      </c>
      <c r="J256" s="145">
        <v>94</v>
      </c>
      <c r="K256" s="145">
        <v>76</v>
      </c>
      <c r="L256" s="145">
        <v>60</v>
      </c>
      <c r="M256" s="146">
        <v>52</v>
      </c>
      <c r="N256" s="156">
        <f t="shared" si="9"/>
        <v>82.75</v>
      </c>
      <c r="O256" s="116" t="s">
        <v>461</v>
      </c>
      <c r="P256" s="116"/>
      <c r="Q256" s="116"/>
    </row>
    <row r="257" spans="1:17" ht="15.75" thickBot="1" x14ac:dyDescent="0.3">
      <c r="A257" s="127" t="s">
        <v>420</v>
      </c>
      <c r="B257" s="144">
        <v>48</v>
      </c>
      <c r="C257" s="145">
        <v>54</v>
      </c>
      <c r="D257" s="145">
        <v>64</v>
      </c>
      <c r="E257" s="145">
        <v>85</v>
      </c>
      <c r="F257" s="145">
        <v>108</v>
      </c>
      <c r="G257" s="145">
        <v>110</v>
      </c>
      <c r="H257" s="145">
        <v>112</v>
      </c>
      <c r="I257" s="145">
        <v>108</v>
      </c>
      <c r="J257" s="145">
        <v>100</v>
      </c>
      <c r="K257" s="145">
        <v>75</v>
      </c>
      <c r="L257" s="145">
        <v>60</v>
      </c>
      <c r="M257" s="146">
        <v>52</v>
      </c>
      <c r="N257" s="156">
        <f t="shared" si="9"/>
        <v>81.333333333333329</v>
      </c>
      <c r="O257" s="116" t="s">
        <v>460</v>
      </c>
      <c r="P257" s="116"/>
      <c r="Q257" s="116"/>
    </row>
    <row r="258" spans="1:17" ht="15.75" thickBot="1" x14ac:dyDescent="0.3">
      <c r="A258" s="127" t="s">
        <v>421</v>
      </c>
      <c r="B258" s="144">
        <v>52</v>
      </c>
      <c r="C258" s="145">
        <v>68</v>
      </c>
      <c r="D258" s="145">
        <v>83</v>
      </c>
      <c r="E258" s="145">
        <v>103</v>
      </c>
      <c r="F258" s="145">
        <v>108</v>
      </c>
      <c r="G258" s="145">
        <v>100</v>
      </c>
      <c r="H258" s="145">
        <v>99</v>
      </c>
      <c r="I258" s="145">
        <v>98</v>
      </c>
      <c r="J258" s="145">
        <v>94</v>
      </c>
      <c r="K258" s="145">
        <v>76</v>
      </c>
      <c r="L258" s="145">
        <v>60</v>
      </c>
      <c r="M258" s="146">
        <v>52</v>
      </c>
      <c r="N258" s="156">
        <f t="shared" si="9"/>
        <v>82.75</v>
      </c>
      <c r="O258" s="116" t="s">
        <v>461</v>
      </c>
      <c r="P258" s="116"/>
      <c r="Q258" s="116"/>
    </row>
    <row r="259" spans="1:17" ht="15.75" thickBot="1" x14ac:dyDescent="0.3">
      <c r="A259" s="127" t="s">
        <v>422</v>
      </c>
      <c r="B259" s="144">
        <v>115</v>
      </c>
      <c r="C259" s="145">
        <v>130</v>
      </c>
      <c r="D259" s="145">
        <v>141</v>
      </c>
      <c r="E259" s="145">
        <v>143</v>
      </c>
      <c r="F259" s="145">
        <v>125</v>
      </c>
      <c r="G259" s="145">
        <v>110</v>
      </c>
      <c r="H259" s="145">
        <v>110</v>
      </c>
      <c r="I259" s="145">
        <v>108</v>
      </c>
      <c r="J259" s="145">
        <v>107</v>
      </c>
      <c r="K259" s="145">
        <v>100</v>
      </c>
      <c r="L259" s="145">
        <v>103</v>
      </c>
      <c r="M259" s="146">
        <v>100</v>
      </c>
      <c r="N259" s="156">
        <f t="shared" si="9"/>
        <v>116</v>
      </c>
      <c r="O259" s="116" t="s">
        <v>459</v>
      </c>
      <c r="P259" s="116"/>
      <c r="Q259" s="116"/>
    </row>
    <row r="260" spans="1:17" ht="15.75" thickBot="1" x14ac:dyDescent="0.3">
      <c r="A260" s="127" t="s">
        <v>423</v>
      </c>
      <c r="B260" s="144">
        <v>115</v>
      </c>
      <c r="C260" s="145">
        <v>130</v>
      </c>
      <c r="D260" s="145">
        <v>141</v>
      </c>
      <c r="E260" s="145">
        <v>143</v>
      </c>
      <c r="F260" s="145">
        <v>125</v>
      </c>
      <c r="G260" s="145">
        <v>110</v>
      </c>
      <c r="H260" s="145">
        <v>110</v>
      </c>
      <c r="I260" s="145">
        <v>108</v>
      </c>
      <c r="J260" s="145">
        <v>107</v>
      </c>
      <c r="K260" s="145">
        <v>100</v>
      </c>
      <c r="L260" s="145">
        <v>103</v>
      </c>
      <c r="M260" s="146">
        <v>100</v>
      </c>
      <c r="N260" s="156">
        <f t="shared" si="9"/>
        <v>116</v>
      </c>
      <c r="O260" s="116" t="s">
        <v>459</v>
      </c>
      <c r="P260" s="116"/>
      <c r="Q260" s="116"/>
    </row>
    <row r="261" spans="1:17" ht="15.75" thickBot="1" x14ac:dyDescent="0.3">
      <c r="A261" s="127" t="s">
        <v>424</v>
      </c>
      <c r="B261" s="144">
        <v>51</v>
      </c>
      <c r="C261" s="145">
        <v>52</v>
      </c>
      <c r="D261" s="145">
        <v>60</v>
      </c>
      <c r="E261" s="145">
        <v>80</v>
      </c>
      <c r="F261" s="145">
        <v>115</v>
      </c>
      <c r="G261" s="145">
        <v>123</v>
      </c>
      <c r="H261" s="145">
        <v>125</v>
      </c>
      <c r="I261" s="145">
        <v>108</v>
      </c>
      <c r="J261" s="145">
        <v>102</v>
      </c>
      <c r="K261" s="145">
        <v>85</v>
      </c>
      <c r="L261" s="145">
        <v>70</v>
      </c>
      <c r="M261" s="146">
        <v>57</v>
      </c>
      <c r="N261" s="156">
        <f t="shared" si="9"/>
        <v>85.666666666666671</v>
      </c>
      <c r="O261" s="116" t="s">
        <v>458</v>
      </c>
      <c r="P261" s="116"/>
      <c r="Q261" s="116"/>
    </row>
    <row r="262" spans="1:17" ht="15.75" thickBot="1" x14ac:dyDescent="0.3">
      <c r="A262" s="127" t="s">
        <v>425</v>
      </c>
      <c r="B262" s="144">
        <v>80</v>
      </c>
      <c r="C262" s="145">
        <v>95</v>
      </c>
      <c r="D262" s="145">
        <v>112</v>
      </c>
      <c r="E262" s="145">
        <v>125</v>
      </c>
      <c r="F262" s="145">
        <v>138</v>
      </c>
      <c r="G262" s="145">
        <v>139</v>
      </c>
      <c r="H262" s="145">
        <v>140</v>
      </c>
      <c r="I262" s="145">
        <v>131</v>
      </c>
      <c r="J262" s="145">
        <v>116</v>
      </c>
      <c r="K262" s="145">
        <v>95</v>
      </c>
      <c r="L262" s="145">
        <v>80</v>
      </c>
      <c r="M262" s="146">
        <v>72</v>
      </c>
      <c r="N262" s="156">
        <f t="shared" si="9"/>
        <v>110.25</v>
      </c>
      <c r="O262" s="116" t="s">
        <v>462</v>
      </c>
      <c r="P262" s="116"/>
      <c r="Q262" s="116"/>
    </row>
    <row r="263" spans="1:17" ht="15.75" thickBot="1" x14ac:dyDescent="0.3">
      <c r="A263" s="127" t="s">
        <v>426</v>
      </c>
      <c r="B263" s="144">
        <v>51</v>
      </c>
      <c r="C263" s="145">
        <v>52</v>
      </c>
      <c r="D263" s="145">
        <v>60</v>
      </c>
      <c r="E263" s="145">
        <v>80</v>
      </c>
      <c r="F263" s="145">
        <v>115</v>
      </c>
      <c r="G263" s="145">
        <v>123</v>
      </c>
      <c r="H263" s="145">
        <v>125</v>
      </c>
      <c r="I263" s="145">
        <v>108</v>
      </c>
      <c r="J263" s="145">
        <v>102</v>
      </c>
      <c r="K263" s="145">
        <v>85</v>
      </c>
      <c r="L263" s="145">
        <v>70</v>
      </c>
      <c r="M263" s="146">
        <v>57</v>
      </c>
      <c r="N263" s="156">
        <f t="shared" si="9"/>
        <v>85.666666666666671</v>
      </c>
      <c r="O263" s="116" t="s">
        <v>458</v>
      </c>
      <c r="P263" s="116"/>
      <c r="Q263" s="116"/>
    </row>
    <row r="264" spans="1:17" ht="15.75" thickBot="1" x14ac:dyDescent="0.3">
      <c r="A264" s="127" t="s">
        <v>427</v>
      </c>
      <c r="B264" s="144">
        <v>80</v>
      </c>
      <c r="C264" s="145">
        <v>95</v>
      </c>
      <c r="D264" s="145">
        <v>112</v>
      </c>
      <c r="E264" s="145">
        <v>125</v>
      </c>
      <c r="F264" s="145">
        <v>138</v>
      </c>
      <c r="G264" s="145">
        <v>139</v>
      </c>
      <c r="H264" s="145">
        <v>140</v>
      </c>
      <c r="I264" s="145">
        <v>131</v>
      </c>
      <c r="J264" s="145">
        <v>116</v>
      </c>
      <c r="K264" s="145">
        <v>95</v>
      </c>
      <c r="L264" s="145">
        <v>80</v>
      </c>
      <c r="M264" s="146">
        <v>72</v>
      </c>
      <c r="N264" s="156">
        <f t="shared" si="9"/>
        <v>110.25</v>
      </c>
      <c r="O264" s="116" t="s">
        <v>462</v>
      </c>
      <c r="P264" s="116"/>
      <c r="Q264" s="116"/>
    </row>
    <row r="265" spans="1:17" ht="15.75" thickBot="1" x14ac:dyDescent="0.3">
      <c r="A265" s="127" t="s">
        <v>428</v>
      </c>
      <c r="B265" s="144">
        <v>51</v>
      </c>
      <c r="C265" s="145">
        <v>52</v>
      </c>
      <c r="D265" s="145">
        <v>60</v>
      </c>
      <c r="E265" s="145">
        <v>80</v>
      </c>
      <c r="F265" s="145">
        <v>115</v>
      </c>
      <c r="G265" s="145">
        <v>123</v>
      </c>
      <c r="H265" s="145">
        <v>125</v>
      </c>
      <c r="I265" s="145">
        <v>108</v>
      </c>
      <c r="J265" s="145">
        <v>102</v>
      </c>
      <c r="K265" s="145">
        <v>85</v>
      </c>
      <c r="L265" s="145">
        <v>70</v>
      </c>
      <c r="M265" s="146">
        <v>57</v>
      </c>
      <c r="N265" s="156">
        <f t="shared" si="9"/>
        <v>85.666666666666671</v>
      </c>
      <c r="O265" s="116" t="s">
        <v>458</v>
      </c>
      <c r="P265" s="116"/>
      <c r="Q265" s="116"/>
    </row>
    <row r="266" spans="1:17" ht="15.75" thickBot="1" x14ac:dyDescent="0.3">
      <c r="A266" s="127" t="s">
        <v>429</v>
      </c>
      <c r="B266" s="144">
        <v>115</v>
      </c>
      <c r="C266" s="145">
        <v>130</v>
      </c>
      <c r="D266" s="145">
        <v>141</v>
      </c>
      <c r="E266" s="145">
        <v>143</v>
      </c>
      <c r="F266" s="145">
        <v>125</v>
      </c>
      <c r="G266" s="145">
        <v>110</v>
      </c>
      <c r="H266" s="145">
        <v>110</v>
      </c>
      <c r="I266" s="145">
        <v>108</v>
      </c>
      <c r="J266" s="145">
        <v>107</v>
      </c>
      <c r="K266" s="145">
        <v>100</v>
      </c>
      <c r="L266" s="145">
        <v>103</v>
      </c>
      <c r="M266" s="146">
        <v>100</v>
      </c>
      <c r="N266" s="156">
        <f t="shared" si="9"/>
        <v>116</v>
      </c>
      <c r="O266" s="116" t="s">
        <v>466</v>
      </c>
      <c r="P266" s="116"/>
      <c r="Q266" s="116"/>
    </row>
    <row r="267" spans="1:17" ht="15.75" thickBot="1" x14ac:dyDescent="0.3">
      <c r="A267" s="127" t="s">
        <v>430</v>
      </c>
      <c r="B267" s="144">
        <v>120</v>
      </c>
      <c r="C267" s="145">
        <v>135</v>
      </c>
      <c r="D267" s="145">
        <v>145</v>
      </c>
      <c r="E267" s="145">
        <v>147</v>
      </c>
      <c r="F267" s="145">
        <v>136</v>
      </c>
      <c r="G267" s="145">
        <v>120</v>
      </c>
      <c r="H267" s="145">
        <v>118</v>
      </c>
      <c r="I267" s="145">
        <v>114</v>
      </c>
      <c r="J267" s="145">
        <v>112</v>
      </c>
      <c r="K267" s="145">
        <v>107</v>
      </c>
      <c r="L267" s="145">
        <v>106</v>
      </c>
      <c r="M267" s="146">
        <v>104</v>
      </c>
      <c r="N267" s="156">
        <f t="shared" si="9"/>
        <v>122</v>
      </c>
      <c r="O267" s="116" t="s">
        <v>465</v>
      </c>
      <c r="P267" s="116"/>
      <c r="Q267" s="116"/>
    </row>
    <row r="268" spans="1:17" ht="15.75" thickBot="1" x14ac:dyDescent="0.3">
      <c r="A268" s="127" t="s">
        <v>431</v>
      </c>
      <c r="B268" s="144">
        <v>96</v>
      </c>
      <c r="C268" s="145">
        <v>110</v>
      </c>
      <c r="D268" s="145">
        <v>125</v>
      </c>
      <c r="E268" s="145">
        <v>125</v>
      </c>
      <c r="F268" s="145">
        <v>110</v>
      </c>
      <c r="G268" s="145">
        <v>94</v>
      </c>
      <c r="H268" s="145">
        <v>88</v>
      </c>
      <c r="I268" s="145">
        <v>81</v>
      </c>
      <c r="J268" s="145">
        <v>85</v>
      </c>
      <c r="K268" s="145">
        <v>86</v>
      </c>
      <c r="L268" s="145">
        <v>86</v>
      </c>
      <c r="M268" s="146">
        <v>85</v>
      </c>
      <c r="N268" s="156">
        <f t="shared" si="9"/>
        <v>97.583333333333329</v>
      </c>
      <c r="O268" s="116" t="s">
        <v>464</v>
      </c>
      <c r="P268" s="116"/>
      <c r="Q268" s="116"/>
    </row>
    <row r="269" spans="1:17" ht="15.75" thickBot="1" x14ac:dyDescent="0.3">
      <c r="A269" s="127" t="s">
        <v>432</v>
      </c>
      <c r="B269" s="144">
        <v>80</v>
      </c>
      <c r="C269" s="145">
        <v>95</v>
      </c>
      <c r="D269" s="145">
        <v>112</v>
      </c>
      <c r="E269" s="145">
        <v>125</v>
      </c>
      <c r="F269" s="145">
        <v>138</v>
      </c>
      <c r="G269" s="145">
        <v>139</v>
      </c>
      <c r="H269" s="145">
        <v>140</v>
      </c>
      <c r="I269" s="145">
        <v>131</v>
      </c>
      <c r="J269" s="145">
        <v>116</v>
      </c>
      <c r="K269" s="145">
        <v>95</v>
      </c>
      <c r="L269" s="145">
        <v>80</v>
      </c>
      <c r="M269" s="146">
        <v>72</v>
      </c>
      <c r="N269" s="156">
        <f t="shared" si="9"/>
        <v>110.25</v>
      </c>
      <c r="O269" s="116" t="s">
        <v>462</v>
      </c>
      <c r="P269" s="116"/>
      <c r="Q269" s="116"/>
    </row>
    <row r="270" spans="1:17" ht="15.75" thickBot="1" x14ac:dyDescent="0.3">
      <c r="A270" s="127" t="s">
        <v>433</v>
      </c>
      <c r="B270" s="144">
        <v>80</v>
      </c>
      <c r="C270" s="145">
        <v>95</v>
      </c>
      <c r="D270" s="145">
        <v>112</v>
      </c>
      <c r="E270" s="145">
        <v>125</v>
      </c>
      <c r="F270" s="145">
        <v>138</v>
      </c>
      <c r="G270" s="145">
        <v>139</v>
      </c>
      <c r="H270" s="145">
        <v>140</v>
      </c>
      <c r="I270" s="145">
        <v>131</v>
      </c>
      <c r="J270" s="145">
        <v>116</v>
      </c>
      <c r="K270" s="145">
        <v>95</v>
      </c>
      <c r="L270" s="145">
        <v>80</v>
      </c>
      <c r="M270" s="146">
        <v>72</v>
      </c>
      <c r="N270" s="156">
        <f t="shared" si="9"/>
        <v>110.25</v>
      </c>
      <c r="O270" s="116" t="s">
        <v>462</v>
      </c>
      <c r="P270" s="116"/>
      <c r="Q270" s="116"/>
    </row>
    <row r="271" spans="1:17" ht="15.75" thickBot="1" x14ac:dyDescent="0.3">
      <c r="A271" s="127" t="s">
        <v>434</v>
      </c>
      <c r="B271" s="144">
        <v>115</v>
      </c>
      <c r="C271" s="145">
        <v>130</v>
      </c>
      <c r="D271" s="145">
        <v>141</v>
      </c>
      <c r="E271" s="145">
        <v>143</v>
      </c>
      <c r="F271" s="145">
        <v>125</v>
      </c>
      <c r="G271" s="145">
        <v>110</v>
      </c>
      <c r="H271" s="145">
        <v>110</v>
      </c>
      <c r="I271" s="145">
        <v>108</v>
      </c>
      <c r="J271" s="145">
        <v>107</v>
      </c>
      <c r="K271" s="145">
        <v>100</v>
      </c>
      <c r="L271" s="145">
        <v>103</v>
      </c>
      <c r="M271" s="146">
        <v>100</v>
      </c>
      <c r="N271" s="156">
        <f t="shared" si="9"/>
        <v>116</v>
      </c>
      <c r="O271" s="116" t="s">
        <v>459</v>
      </c>
      <c r="P271" s="116"/>
      <c r="Q271" s="116"/>
    </row>
    <row r="272" spans="1:17" ht="15.75" thickBot="1" x14ac:dyDescent="0.3">
      <c r="A272" s="127" t="s">
        <v>435</v>
      </c>
      <c r="B272" s="144">
        <v>52</v>
      </c>
      <c r="C272" s="145">
        <v>68</v>
      </c>
      <c r="D272" s="145">
        <v>83</v>
      </c>
      <c r="E272" s="145">
        <v>103</v>
      </c>
      <c r="F272" s="145">
        <v>108</v>
      </c>
      <c r="G272" s="145">
        <v>100</v>
      </c>
      <c r="H272" s="145">
        <v>99</v>
      </c>
      <c r="I272" s="145">
        <v>98</v>
      </c>
      <c r="J272" s="145">
        <v>94</v>
      </c>
      <c r="K272" s="145">
        <v>76</v>
      </c>
      <c r="L272" s="145">
        <v>60</v>
      </c>
      <c r="M272" s="146">
        <v>52</v>
      </c>
      <c r="N272" s="156">
        <f t="shared" si="9"/>
        <v>82.75</v>
      </c>
      <c r="O272" s="116" t="s">
        <v>461</v>
      </c>
      <c r="P272" s="116"/>
      <c r="Q272" s="116"/>
    </row>
    <row r="273" spans="1:17" ht="15.75" thickBot="1" x14ac:dyDescent="0.3">
      <c r="A273" s="127" t="s">
        <v>436</v>
      </c>
      <c r="B273" s="144">
        <v>115</v>
      </c>
      <c r="C273" s="145">
        <v>130</v>
      </c>
      <c r="D273" s="145">
        <v>141</v>
      </c>
      <c r="E273" s="145">
        <v>143</v>
      </c>
      <c r="F273" s="145">
        <v>125</v>
      </c>
      <c r="G273" s="145">
        <v>110</v>
      </c>
      <c r="H273" s="145">
        <v>110</v>
      </c>
      <c r="I273" s="145">
        <v>108</v>
      </c>
      <c r="J273" s="145">
        <v>107</v>
      </c>
      <c r="K273" s="145">
        <v>100</v>
      </c>
      <c r="L273" s="145">
        <v>103</v>
      </c>
      <c r="M273" s="146">
        <v>100</v>
      </c>
      <c r="N273" s="156">
        <f t="shared" si="9"/>
        <v>116</v>
      </c>
      <c r="O273" s="116" t="s">
        <v>459</v>
      </c>
      <c r="P273" s="116"/>
      <c r="Q273" s="116"/>
    </row>
    <row r="274" spans="1:17" ht="15.75" thickBot="1" x14ac:dyDescent="0.3">
      <c r="A274" s="127" t="s">
        <v>437</v>
      </c>
      <c r="B274" s="144">
        <v>52</v>
      </c>
      <c r="C274" s="145">
        <v>68</v>
      </c>
      <c r="D274" s="145">
        <v>83</v>
      </c>
      <c r="E274" s="145">
        <v>103</v>
      </c>
      <c r="F274" s="145">
        <v>108</v>
      </c>
      <c r="G274" s="145">
        <v>100</v>
      </c>
      <c r="H274" s="145">
        <v>99</v>
      </c>
      <c r="I274" s="145">
        <v>98</v>
      </c>
      <c r="J274" s="145">
        <v>94</v>
      </c>
      <c r="K274" s="145">
        <v>76</v>
      </c>
      <c r="L274" s="145">
        <v>60</v>
      </c>
      <c r="M274" s="146">
        <v>52</v>
      </c>
      <c r="N274" s="156">
        <f t="shared" si="9"/>
        <v>82.75</v>
      </c>
      <c r="O274" s="116" t="s">
        <v>461</v>
      </c>
      <c r="P274" s="116"/>
      <c r="Q274" s="116"/>
    </row>
    <row r="275" spans="1:17" ht="15.75" thickBot="1" x14ac:dyDescent="0.3">
      <c r="A275" s="127" t="s">
        <v>438</v>
      </c>
      <c r="B275" s="144">
        <v>51</v>
      </c>
      <c r="C275" s="145">
        <v>52</v>
      </c>
      <c r="D275" s="145">
        <v>60</v>
      </c>
      <c r="E275" s="145">
        <v>80</v>
      </c>
      <c r="F275" s="145">
        <v>115</v>
      </c>
      <c r="G275" s="145">
        <v>123</v>
      </c>
      <c r="H275" s="145">
        <v>125</v>
      </c>
      <c r="I275" s="145">
        <v>108</v>
      </c>
      <c r="J275" s="145">
        <v>102</v>
      </c>
      <c r="K275" s="145">
        <v>85</v>
      </c>
      <c r="L275" s="145">
        <v>70</v>
      </c>
      <c r="M275" s="146">
        <v>57</v>
      </c>
      <c r="N275" s="156">
        <f t="shared" si="9"/>
        <v>85.666666666666671</v>
      </c>
      <c r="O275" s="116" t="s">
        <v>458</v>
      </c>
      <c r="P275" s="116"/>
      <c r="Q275" s="116"/>
    </row>
    <row r="276" spans="1:17" ht="15.75" thickBot="1" x14ac:dyDescent="0.3">
      <c r="A276" s="127" t="s">
        <v>439</v>
      </c>
      <c r="B276" s="144">
        <v>51</v>
      </c>
      <c r="C276" s="145">
        <v>52</v>
      </c>
      <c r="D276" s="145">
        <v>60</v>
      </c>
      <c r="E276" s="145">
        <v>80</v>
      </c>
      <c r="F276" s="145">
        <v>115</v>
      </c>
      <c r="G276" s="145">
        <v>123</v>
      </c>
      <c r="H276" s="145">
        <v>125</v>
      </c>
      <c r="I276" s="145">
        <v>108</v>
      </c>
      <c r="J276" s="145">
        <v>102</v>
      </c>
      <c r="K276" s="145">
        <v>85</v>
      </c>
      <c r="L276" s="145">
        <v>70</v>
      </c>
      <c r="M276" s="146">
        <v>57</v>
      </c>
      <c r="N276" s="156">
        <f t="shared" si="9"/>
        <v>85.666666666666671</v>
      </c>
      <c r="O276" s="116" t="s">
        <v>458</v>
      </c>
      <c r="P276" s="116"/>
      <c r="Q276" s="116"/>
    </row>
    <row r="277" spans="1:17" ht="15.75" thickBot="1" x14ac:dyDescent="0.3">
      <c r="A277" s="127" t="s">
        <v>374</v>
      </c>
      <c r="B277" s="144">
        <v>120</v>
      </c>
      <c r="C277" s="145">
        <v>135</v>
      </c>
      <c r="D277" s="145">
        <v>145</v>
      </c>
      <c r="E277" s="145">
        <v>147</v>
      </c>
      <c r="F277" s="145">
        <v>136</v>
      </c>
      <c r="G277" s="145">
        <v>120</v>
      </c>
      <c r="H277" s="145">
        <v>118</v>
      </c>
      <c r="I277" s="145">
        <v>114</v>
      </c>
      <c r="J277" s="145">
        <v>112</v>
      </c>
      <c r="K277" s="145">
        <v>107</v>
      </c>
      <c r="L277" s="145">
        <v>106</v>
      </c>
      <c r="M277" s="146">
        <v>104</v>
      </c>
      <c r="N277" s="156">
        <f t="shared" si="9"/>
        <v>122</v>
      </c>
      <c r="O277" s="116" t="s">
        <v>465</v>
      </c>
      <c r="P277" s="116"/>
      <c r="Q277" s="116"/>
    </row>
    <row r="278" spans="1:17" ht="15.75" thickBot="1" x14ac:dyDescent="0.3">
      <c r="A278" s="127" t="s">
        <v>440</v>
      </c>
      <c r="B278" s="144">
        <v>120</v>
      </c>
      <c r="C278" s="145">
        <v>135</v>
      </c>
      <c r="D278" s="145">
        <v>145</v>
      </c>
      <c r="E278" s="145">
        <v>147</v>
      </c>
      <c r="F278" s="145">
        <v>136</v>
      </c>
      <c r="G278" s="145">
        <v>120</v>
      </c>
      <c r="H278" s="145">
        <v>118</v>
      </c>
      <c r="I278" s="145">
        <v>114</v>
      </c>
      <c r="J278" s="145">
        <v>112</v>
      </c>
      <c r="K278" s="145">
        <v>107</v>
      </c>
      <c r="L278" s="145">
        <v>106</v>
      </c>
      <c r="M278" s="146">
        <v>104</v>
      </c>
      <c r="N278" s="156">
        <f t="shared" si="9"/>
        <v>122</v>
      </c>
      <c r="O278" s="116" t="s">
        <v>465</v>
      </c>
      <c r="P278" s="116"/>
      <c r="Q278" s="116"/>
    </row>
    <row r="279" spans="1:17" ht="15.75" thickBot="1" x14ac:dyDescent="0.3">
      <c r="A279" s="127" t="s">
        <v>441</v>
      </c>
      <c r="B279" s="144">
        <v>51</v>
      </c>
      <c r="C279" s="145">
        <v>52</v>
      </c>
      <c r="D279" s="145">
        <v>60</v>
      </c>
      <c r="E279" s="145">
        <v>80</v>
      </c>
      <c r="F279" s="145">
        <v>115</v>
      </c>
      <c r="G279" s="145">
        <v>123</v>
      </c>
      <c r="H279" s="145">
        <v>125</v>
      </c>
      <c r="I279" s="145">
        <v>108</v>
      </c>
      <c r="J279" s="145">
        <v>102</v>
      </c>
      <c r="K279" s="145">
        <v>85</v>
      </c>
      <c r="L279" s="145">
        <v>70</v>
      </c>
      <c r="M279" s="146">
        <v>57</v>
      </c>
      <c r="N279" s="156">
        <f t="shared" si="9"/>
        <v>85.666666666666671</v>
      </c>
      <c r="O279" s="116" t="s">
        <v>458</v>
      </c>
      <c r="P279" s="116"/>
      <c r="Q279" s="116"/>
    </row>
    <row r="280" spans="1:17" ht="15.75" thickBot="1" x14ac:dyDescent="0.3">
      <c r="A280" s="127" t="s">
        <v>442</v>
      </c>
      <c r="B280" s="144">
        <v>48</v>
      </c>
      <c r="C280" s="145">
        <v>54</v>
      </c>
      <c r="D280" s="145">
        <v>64</v>
      </c>
      <c r="E280" s="145">
        <v>85</v>
      </c>
      <c r="F280" s="145">
        <v>108</v>
      </c>
      <c r="G280" s="145">
        <v>110</v>
      </c>
      <c r="H280" s="145">
        <v>112</v>
      </c>
      <c r="I280" s="145">
        <v>108</v>
      </c>
      <c r="J280" s="145">
        <v>100</v>
      </c>
      <c r="K280" s="145">
        <v>75</v>
      </c>
      <c r="L280" s="145">
        <v>60</v>
      </c>
      <c r="M280" s="146">
        <v>52</v>
      </c>
      <c r="N280" s="156">
        <f t="shared" si="9"/>
        <v>81.333333333333329</v>
      </c>
      <c r="O280" s="116" t="s">
        <v>460</v>
      </c>
      <c r="P280" s="116"/>
      <c r="Q280" s="116"/>
    </row>
    <row r="281" spans="1:17" ht="15.75" thickBot="1" x14ac:dyDescent="0.3">
      <c r="A281" s="127" t="s">
        <v>443</v>
      </c>
      <c r="B281" s="144">
        <v>48</v>
      </c>
      <c r="C281" s="145">
        <v>54</v>
      </c>
      <c r="D281" s="145">
        <v>64</v>
      </c>
      <c r="E281" s="145">
        <v>90</v>
      </c>
      <c r="F281" s="145">
        <v>118</v>
      </c>
      <c r="G281" s="145">
        <v>135</v>
      </c>
      <c r="H281" s="145">
        <v>139</v>
      </c>
      <c r="I281" s="145">
        <v>120</v>
      </c>
      <c r="J281" s="145">
        <v>102</v>
      </c>
      <c r="K281" s="145">
        <v>78</v>
      </c>
      <c r="L281" s="145">
        <v>63</v>
      </c>
      <c r="M281" s="146">
        <v>55</v>
      </c>
      <c r="N281" s="156">
        <f t="shared" si="9"/>
        <v>88.833333333333329</v>
      </c>
      <c r="O281" s="116" t="s">
        <v>463</v>
      </c>
      <c r="P281" s="116"/>
      <c r="Q281" s="116"/>
    </row>
    <row r="282" spans="1:17" ht="15.75" thickBot="1" x14ac:dyDescent="0.3">
      <c r="A282" s="127" t="s">
        <v>444</v>
      </c>
      <c r="B282" s="144">
        <v>120</v>
      </c>
      <c r="C282" s="145">
        <v>135</v>
      </c>
      <c r="D282" s="145">
        <v>145</v>
      </c>
      <c r="E282" s="145">
        <v>147</v>
      </c>
      <c r="F282" s="145">
        <v>136</v>
      </c>
      <c r="G282" s="145">
        <v>120</v>
      </c>
      <c r="H282" s="145">
        <v>118</v>
      </c>
      <c r="I282" s="145">
        <v>114</v>
      </c>
      <c r="J282" s="145">
        <v>112</v>
      </c>
      <c r="K282" s="145">
        <v>107</v>
      </c>
      <c r="L282" s="145">
        <v>106</v>
      </c>
      <c r="M282" s="146">
        <v>104</v>
      </c>
      <c r="N282" s="156">
        <f t="shared" si="9"/>
        <v>122</v>
      </c>
      <c r="O282" s="116" t="s">
        <v>467</v>
      </c>
      <c r="P282" s="116"/>
      <c r="Q282" s="116"/>
    </row>
    <row r="283" spans="1:17" ht="15.75" thickBot="1" x14ac:dyDescent="0.3">
      <c r="A283" s="127" t="s">
        <v>445</v>
      </c>
      <c r="B283" s="144">
        <v>80</v>
      </c>
      <c r="C283" s="145">
        <v>95</v>
      </c>
      <c r="D283" s="145">
        <v>112</v>
      </c>
      <c r="E283" s="145">
        <v>125</v>
      </c>
      <c r="F283" s="145">
        <v>138</v>
      </c>
      <c r="G283" s="145">
        <v>139</v>
      </c>
      <c r="H283" s="145">
        <v>140</v>
      </c>
      <c r="I283" s="145">
        <v>131</v>
      </c>
      <c r="J283" s="145">
        <v>116</v>
      </c>
      <c r="K283" s="145">
        <v>95</v>
      </c>
      <c r="L283" s="145">
        <v>80</v>
      </c>
      <c r="M283" s="146">
        <v>72</v>
      </c>
      <c r="N283" s="156">
        <f t="shared" si="9"/>
        <v>110.25</v>
      </c>
      <c r="O283" s="116" t="s">
        <v>462</v>
      </c>
      <c r="P283" s="116"/>
      <c r="Q283" s="116"/>
    </row>
    <row r="284" spans="1:17" ht="15.75" thickBot="1" x14ac:dyDescent="0.3">
      <c r="A284" s="127" t="s">
        <v>446</v>
      </c>
      <c r="B284" s="144">
        <v>48</v>
      </c>
      <c r="C284" s="145">
        <v>54</v>
      </c>
      <c r="D284" s="145">
        <v>64</v>
      </c>
      <c r="E284" s="145">
        <v>85</v>
      </c>
      <c r="F284" s="145">
        <v>108</v>
      </c>
      <c r="G284" s="145">
        <v>110</v>
      </c>
      <c r="H284" s="145">
        <v>112</v>
      </c>
      <c r="I284" s="145">
        <v>108</v>
      </c>
      <c r="J284" s="145">
        <v>100</v>
      </c>
      <c r="K284" s="145">
        <v>75</v>
      </c>
      <c r="L284" s="145">
        <v>60</v>
      </c>
      <c r="M284" s="146">
        <v>52</v>
      </c>
      <c r="N284" s="156">
        <f t="shared" si="9"/>
        <v>81.333333333333329</v>
      </c>
      <c r="O284" s="116" t="s">
        <v>460</v>
      </c>
      <c r="P284" s="116"/>
      <c r="Q284" s="116"/>
    </row>
    <row r="285" spans="1:17" ht="15.75" thickBot="1" x14ac:dyDescent="0.3">
      <c r="A285" s="127" t="s">
        <v>447</v>
      </c>
      <c r="B285" s="144">
        <v>48</v>
      </c>
      <c r="C285" s="145">
        <v>54</v>
      </c>
      <c r="D285" s="145">
        <v>64</v>
      </c>
      <c r="E285" s="145">
        <v>85</v>
      </c>
      <c r="F285" s="145">
        <v>108</v>
      </c>
      <c r="G285" s="145">
        <v>110</v>
      </c>
      <c r="H285" s="145">
        <v>112</v>
      </c>
      <c r="I285" s="145">
        <v>108</v>
      </c>
      <c r="J285" s="145">
        <v>100</v>
      </c>
      <c r="K285" s="145">
        <v>75</v>
      </c>
      <c r="L285" s="145">
        <v>60</v>
      </c>
      <c r="M285" s="146">
        <v>52</v>
      </c>
      <c r="N285" s="156">
        <f t="shared" si="9"/>
        <v>81.333333333333329</v>
      </c>
      <c r="O285" s="116" t="s">
        <v>460</v>
      </c>
      <c r="P285" s="116"/>
      <c r="Q285" s="116"/>
    </row>
    <row r="286" spans="1:17" ht="15.75" thickBot="1" x14ac:dyDescent="0.3">
      <c r="A286" s="127" t="s">
        <v>448</v>
      </c>
      <c r="B286" s="144">
        <v>48</v>
      </c>
      <c r="C286" s="145">
        <v>54</v>
      </c>
      <c r="D286" s="145">
        <v>64</v>
      </c>
      <c r="E286" s="145">
        <v>85</v>
      </c>
      <c r="F286" s="145">
        <v>108</v>
      </c>
      <c r="G286" s="145">
        <v>110</v>
      </c>
      <c r="H286" s="145">
        <v>112</v>
      </c>
      <c r="I286" s="145">
        <v>108</v>
      </c>
      <c r="J286" s="145">
        <v>100</v>
      </c>
      <c r="K286" s="145">
        <v>75</v>
      </c>
      <c r="L286" s="145">
        <v>60</v>
      </c>
      <c r="M286" s="146">
        <v>52</v>
      </c>
      <c r="N286" s="156">
        <f t="shared" si="9"/>
        <v>81.333333333333329</v>
      </c>
      <c r="O286" s="116" t="s">
        <v>460</v>
      </c>
      <c r="P286" s="116"/>
      <c r="Q286" s="116"/>
    </row>
    <row r="287" spans="1:17" ht="15.75" thickBot="1" x14ac:dyDescent="0.3">
      <c r="A287" s="127" t="s">
        <v>449</v>
      </c>
      <c r="B287" s="144">
        <v>48</v>
      </c>
      <c r="C287" s="145">
        <v>54</v>
      </c>
      <c r="D287" s="145">
        <v>64</v>
      </c>
      <c r="E287" s="145">
        <v>90</v>
      </c>
      <c r="F287" s="145">
        <v>118</v>
      </c>
      <c r="G287" s="145">
        <v>135</v>
      </c>
      <c r="H287" s="145">
        <v>139</v>
      </c>
      <c r="I287" s="145">
        <v>120</v>
      </c>
      <c r="J287" s="145">
        <v>102</v>
      </c>
      <c r="K287" s="145">
        <v>78</v>
      </c>
      <c r="L287" s="145">
        <v>63</v>
      </c>
      <c r="M287" s="146">
        <v>55</v>
      </c>
      <c r="N287" s="156">
        <f t="shared" si="9"/>
        <v>88.833333333333329</v>
      </c>
      <c r="O287" s="116" t="s">
        <v>463</v>
      </c>
      <c r="P287" s="116"/>
      <c r="Q287" s="116"/>
    </row>
    <row r="288" spans="1:17" ht="15.75" thickBot="1" x14ac:dyDescent="0.3">
      <c r="A288" s="127" t="s">
        <v>450</v>
      </c>
      <c r="B288" s="144">
        <v>48</v>
      </c>
      <c r="C288" s="145">
        <v>54</v>
      </c>
      <c r="D288" s="145">
        <v>64</v>
      </c>
      <c r="E288" s="145">
        <v>85</v>
      </c>
      <c r="F288" s="145">
        <v>108</v>
      </c>
      <c r="G288" s="145">
        <v>110</v>
      </c>
      <c r="H288" s="145">
        <v>112</v>
      </c>
      <c r="I288" s="145">
        <v>108</v>
      </c>
      <c r="J288" s="145">
        <v>100</v>
      </c>
      <c r="K288" s="145">
        <v>75</v>
      </c>
      <c r="L288" s="145">
        <v>60</v>
      </c>
      <c r="M288" s="146">
        <v>52</v>
      </c>
      <c r="N288" s="156">
        <f t="shared" si="9"/>
        <v>81.333333333333329</v>
      </c>
      <c r="O288" s="116" t="s">
        <v>460</v>
      </c>
      <c r="P288" s="116"/>
      <c r="Q288" s="116"/>
    </row>
    <row r="289" spans="1:17" ht="15.75" thickBot="1" x14ac:dyDescent="0.3">
      <c r="A289" s="127" t="s">
        <v>451</v>
      </c>
      <c r="B289" s="144">
        <v>120</v>
      </c>
      <c r="C289" s="145">
        <v>135</v>
      </c>
      <c r="D289" s="145">
        <v>145</v>
      </c>
      <c r="E289" s="145">
        <v>147</v>
      </c>
      <c r="F289" s="145">
        <v>136</v>
      </c>
      <c r="G289" s="145">
        <v>120</v>
      </c>
      <c r="H289" s="145">
        <v>118</v>
      </c>
      <c r="I289" s="145">
        <v>114</v>
      </c>
      <c r="J289" s="145">
        <v>112</v>
      </c>
      <c r="K289" s="145">
        <v>107</v>
      </c>
      <c r="L289" s="145">
        <v>106</v>
      </c>
      <c r="M289" s="146">
        <v>104</v>
      </c>
      <c r="N289" s="156">
        <f t="shared" si="9"/>
        <v>122</v>
      </c>
      <c r="O289" s="116" t="s">
        <v>465</v>
      </c>
      <c r="P289" s="116"/>
      <c r="Q289" s="116"/>
    </row>
    <row r="290" spans="1:17" ht="15.75" thickBot="1" x14ac:dyDescent="0.3">
      <c r="A290" s="132" t="s">
        <v>452</v>
      </c>
      <c r="B290" s="144">
        <v>52</v>
      </c>
      <c r="C290" s="145">
        <v>68</v>
      </c>
      <c r="D290" s="145">
        <v>83</v>
      </c>
      <c r="E290" s="145">
        <v>103</v>
      </c>
      <c r="F290" s="145">
        <v>108</v>
      </c>
      <c r="G290" s="145">
        <v>100</v>
      </c>
      <c r="H290" s="145">
        <v>99</v>
      </c>
      <c r="I290" s="145">
        <v>98</v>
      </c>
      <c r="J290" s="145">
        <v>94</v>
      </c>
      <c r="K290" s="145">
        <v>76</v>
      </c>
      <c r="L290" s="145">
        <v>60</v>
      </c>
      <c r="M290" s="146">
        <v>52</v>
      </c>
      <c r="N290" s="156">
        <f t="shared" si="9"/>
        <v>82.75</v>
      </c>
      <c r="O290" s="116" t="s">
        <v>461</v>
      </c>
      <c r="P290" s="116"/>
      <c r="Q290" s="116"/>
    </row>
    <row r="291" spans="1:17" x14ac:dyDescent="0.25">
      <c r="A291" s="116"/>
      <c r="B291" s="116"/>
      <c r="C291" s="116"/>
      <c r="D291" s="116"/>
      <c r="E291" s="116"/>
      <c r="F291" s="116"/>
      <c r="G291" s="116"/>
      <c r="H291" s="116"/>
      <c r="I291" s="116"/>
      <c r="J291" s="116"/>
      <c r="K291" s="116"/>
      <c r="L291" s="116"/>
      <c r="M291" s="116"/>
      <c r="N291" s="116"/>
      <c r="O291" s="116"/>
      <c r="P291" s="116"/>
      <c r="Q291" s="116"/>
    </row>
    <row r="292" spans="1:17" x14ac:dyDescent="0.25">
      <c r="A292" s="116"/>
      <c r="B292" s="116"/>
      <c r="C292" s="116"/>
      <c r="D292" s="116"/>
      <c r="E292" s="116"/>
      <c r="F292" s="116"/>
      <c r="G292" s="116"/>
      <c r="H292" s="116"/>
      <c r="I292" s="116"/>
      <c r="J292" s="116"/>
      <c r="K292" s="116"/>
      <c r="L292" s="116"/>
      <c r="M292" s="116"/>
      <c r="N292" s="116"/>
      <c r="O292" s="116"/>
      <c r="P292" s="116"/>
      <c r="Q292" s="116"/>
    </row>
    <row r="293" spans="1:17" x14ac:dyDescent="0.25">
      <c r="A293" s="116"/>
      <c r="B293" s="116"/>
      <c r="C293" s="116"/>
      <c r="D293" s="116"/>
      <c r="E293" s="116"/>
      <c r="F293" s="116"/>
      <c r="G293" s="116"/>
      <c r="H293" s="116"/>
      <c r="I293" s="116"/>
      <c r="J293" s="116"/>
      <c r="K293" s="116"/>
      <c r="L293" s="116"/>
      <c r="M293" s="116"/>
      <c r="N293" s="116"/>
      <c r="O293" s="116"/>
      <c r="P293" s="116"/>
      <c r="Q293" s="116"/>
    </row>
    <row r="294" spans="1:17" x14ac:dyDescent="0.25">
      <c r="A294" s="116"/>
      <c r="B294" s="116"/>
      <c r="C294" s="116"/>
      <c r="D294" s="116"/>
      <c r="E294" s="116"/>
      <c r="F294" s="116"/>
      <c r="G294" s="116"/>
      <c r="H294" s="116"/>
      <c r="I294" s="116"/>
      <c r="J294" s="116"/>
      <c r="K294" s="116"/>
      <c r="L294" s="116"/>
      <c r="M294" s="116"/>
      <c r="N294" s="116"/>
      <c r="O294" s="116"/>
      <c r="P294" s="116"/>
      <c r="Q294" s="116"/>
    </row>
    <row r="295" spans="1:17" hidden="1" x14ac:dyDescent="0.25"/>
    <row r="296" spans="1:17" hidden="1" x14ac:dyDescent="0.25"/>
    <row r="297" spans="1:17" hidden="1" x14ac:dyDescent="0.25"/>
    <row r="298" spans="1:17" hidden="1" x14ac:dyDescent="0.25"/>
    <row r="299" spans="1:17" hidden="1" x14ac:dyDescent="0.25"/>
    <row r="300" spans="1:17" hidden="1" x14ac:dyDescent="0.25"/>
    <row r="301" spans="1:17" hidden="1" x14ac:dyDescent="0.25"/>
    <row r="302" spans="1:17" hidden="1" x14ac:dyDescent="0.25"/>
    <row r="303" spans="1:17" hidden="1" x14ac:dyDescent="0.25"/>
    <row r="304" spans="1:17"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sheetData>
  <sheetProtection algorithmName="SHA-512" hashValue="NTAWuppsDKx7933YQni66aZoYUpg20jMEHgglSZ3SQzWhPzSiJyKIBMuvJbmTm7cHV5NC0XJnuewTKGrhZVvgw==" saltValue="V9G0gLLfexfQfJiv4CQpzA==" spinCount="100000" sheet="1" objects="1" scenarios="1"/>
  <mergeCells count="4">
    <mergeCell ref="A1:F1"/>
    <mergeCell ref="A71:F71"/>
    <mergeCell ref="A141:F141"/>
    <mergeCell ref="A212:F212"/>
  </mergeCells>
  <hyperlinks>
    <hyperlink ref="A214" r:id="rId1" display="http://www.ifpri.org/sites/default/files/publications/ifpridp01248.pdf" xr:uid="{00000000-0004-0000-3D00-000000000000}"/>
  </hyperlinks>
  <pageMargins left="0.7" right="0.7" top="0.75" bottom="0.75" header="0.3" footer="0.3"/>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5">
    <tabColor theme="0" tint="-0.249977111117893"/>
  </sheetPr>
  <dimension ref="A1:S249"/>
  <sheetViews>
    <sheetView showRowColHeaders="0" topLeftCell="A25" workbookViewId="0"/>
  </sheetViews>
  <sheetFormatPr defaultColWidth="0" defaultRowHeight="15" zeroHeight="1" x14ac:dyDescent="0.25"/>
  <cols>
    <col min="1" max="1" width="3.7109375" style="274" customWidth="1"/>
    <col min="2" max="10" width="9.140625" style="274" customWidth="1"/>
    <col min="11" max="14" width="21.28515625" style="274" customWidth="1"/>
    <col min="15" max="15" width="9.140625" style="274" customWidth="1"/>
    <col min="16" max="16384" width="9.140625" style="274" hidden="1"/>
  </cols>
  <sheetData>
    <row r="1" spans="1:19" ht="28.5" x14ac:dyDescent="0.25">
      <c r="A1" s="510" t="s">
        <v>674</v>
      </c>
      <c r="B1" s="378"/>
      <c r="C1" s="378"/>
      <c r="D1" s="378"/>
      <c r="E1" s="378"/>
      <c r="F1" s="355"/>
      <c r="G1" s="355"/>
      <c r="H1" s="355"/>
      <c r="I1" s="355"/>
      <c r="J1" s="355"/>
      <c r="K1" s="355"/>
      <c r="L1" s="355"/>
      <c r="M1" s="355"/>
      <c r="N1" s="355"/>
      <c r="O1" s="355"/>
      <c r="P1" s="355"/>
      <c r="Q1" s="355"/>
      <c r="R1" s="355"/>
      <c r="S1" s="355"/>
    </row>
    <row r="2" spans="1:19" x14ac:dyDescent="0.25">
      <c r="A2" s="356"/>
      <c r="B2" s="356"/>
      <c r="C2" s="356"/>
      <c r="D2" s="356"/>
      <c r="E2" s="356"/>
      <c r="F2" s="356"/>
      <c r="G2" s="356"/>
      <c r="H2" s="356"/>
      <c r="I2" s="356"/>
      <c r="J2" s="356"/>
      <c r="K2" s="356"/>
      <c r="L2" s="356"/>
      <c r="M2" s="356"/>
      <c r="N2" s="356"/>
      <c r="O2" s="356"/>
      <c r="P2" s="356"/>
      <c r="Q2" s="356"/>
      <c r="R2" s="356"/>
      <c r="S2" s="356"/>
    </row>
    <row r="3" spans="1:19" ht="18.75" x14ac:dyDescent="0.25">
      <c r="A3" s="509" t="s">
        <v>675</v>
      </c>
      <c r="B3" s="358"/>
      <c r="C3" s="357"/>
      <c r="D3" s="357"/>
      <c r="E3" s="357"/>
      <c r="F3" s="356"/>
      <c r="G3" s="356"/>
      <c r="H3" s="356"/>
      <c r="I3" s="356"/>
      <c r="J3" s="356"/>
      <c r="K3" s="356"/>
      <c r="L3" s="356"/>
      <c r="M3" s="356"/>
      <c r="N3" s="356"/>
      <c r="O3" s="356"/>
      <c r="P3" s="356"/>
      <c r="Q3" s="356"/>
      <c r="R3" s="356"/>
      <c r="S3" s="356"/>
    </row>
    <row r="4" spans="1:19" ht="9" customHeight="1" x14ac:dyDescent="0.25">
      <c r="A4" s="356"/>
      <c r="B4" s="356"/>
      <c r="C4" s="356"/>
      <c r="D4" s="356"/>
      <c r="E4" s="356"/>
      <c r="F4" s="356"/>
      <c r="G4" s="356"/>
      <c r="H4" s="356"/>
      <c r="I4" s="356"/>
      <c r="J4" s="356"/>
      <c r="K4" s="356"/>
      <c r="L4" s="356"/>
      <c r="M4" s="356"/>
      <c r="N4" s="356"/>
      <c r="O4" s="356"/>
      <c r="P4" s="356"/>
      <c r="Q4" s="356"/>
      <c r="R4" s="356"/>
      <c r="S4" s="356"/>
    </row>
    <row r="5" spans="1:19" x14ac:dyDescent="0.25">
      <c r="A5" s="356"/>
      <c r="B5" s="2469" t="s">
        <v>676</v>
      </c>
      <c r="C5" s="2469"/>
      <c r="D5" s="2469"/>
      <c r="E5" s="2470"/>
      <c r="F5" s="2470"/>
      <c r="G5" s="2470"/>
      <c r="H5" s="2470"/>
      <c r="I5" s="356"/>
      <c r="J5" s="356"/>
      <c r="K5" s="356"/>
      <c r="L5" s="356"/>
      <c r="M5" s="356"/>
      <c r="N5" s="356"/>
      <c r="O5" s="356"/>
      <c r="P5" s="356"/>
      <c r="Q5" s="356"/>
      <c r="R5" s="356"/>
      <c r="S5" s="356"/>
    </row>
    <row r="6" spans="1:19" x14ac:dyDescent="0.25">
      <c r="A6" s="356"/>
      <c r="B6" s="2469" t="s">
        <v>677</v>
      </c>
      <c r="C6" s="2469"/>
      <c r="D6" s="2469"/>
      <c r="E6" s="2470"/>
      <c r="F6" s="2470"/>
      <c r="G6" s="2470"/>
      <c r="H6" s="2470"/>
      <c r="I6" s="356"/>
      <c r="J6" s="356"/>
      <c r="K6" s="356"/>
      <c r="L6" s="356"/>
      <c r="M6" s="356"/>
      <c r="N6" s="356"/>
      <c r="O6" s="356"/>
      <c r="P6" s="356"/>
      <c r="Q6" s="356"/>
      <c r="R6" s="356"/>
      <c r="S6" s="356"/>
    </row>
    <row r="7" spans="1:19" x14ac:dyDescent="0.25">
      <c r="A7" s="356"/>
      <c r="B7" s="2469" t="s">
        <v>678</v>
      </c>
      <c r="C7" s="2469"/>
      <c r="D7" s="2469"/>
      <c r="E7" s="2470"/>
      <c r="F7" s="2470"/>
      <c r="G7" s="2470"/>
      <c r="H7" s="2470"/>
      <c r="I7" s="356"/>
      <c r="J7" s="356"/>
      <c r="K7" s="356"/>
      <c r="L7" s="356"/>
      <c r="M7" s="356"/>
      <c r="N7" s="356"/>
      <c r="O7" s="356"/>
      <c r="P7" s="356"/>
      <c r="Q7" s="356"/>
      <c r="R7" s="356"/>
      <c r="S7" s="356"/>
    </row>
    <row r="8" spans="1:19" x14ac:dyDescent="0.25">
      <c r="A8" s="356"/>
      <c r="B8" s="356"/>
      <c r="C8" s="356"/>
      <c r="D8" s="356"/>
      <c r="E8" s="356"/>
      <c r="F8" s="356"/>
      <c r="G8" s="356"/>
      <c r="H8" s="356"/>
      <c r="I8" s="356"/>
      <c r="J8" s="356"/>
      <c r="K8" s="356"/>
      <c r="L8" s="356"/>
      <c r="M8" s="356"/>
      <c r="N8" s="356"/>
      <c r="O8" s="356"/>
      <c r="P8" s="356"/>
      <c r="Q8" s="356"/>
      <c r="R8" s="356"/>
      <c r="S8" s="356"/>
    </row>
    <row r="9" spans="1:19" x14ac:dyDescent="0.25">
      <c r="A9" s="356"/>
      <c r="B9" s="356" t="s">
        <v>1010</v>
      </c>
      <c r="C9" s="356"/>
      <c r="D9" s="356"/>
      <c r="E9" s="356"/>
      <c r="F9" s="356"/>
      <c r="G9" s="356"/>
      <c r="H9" s="356"/>
      <c r="I9" s="356"/>
      <c r="J9" s="356"/>
      <c r="K9" s="356"/>
      <c r="L9" s="356"/>
      <c r="M9" s="356"/>
      <c r="N9" s="356"/>
      <c r="O9" s="356"/>
      <c r="P9" s="356"/>
      <c r="Q9" s="356"/>
      <c r="R9" s="356"/>
      <c r="S9" s="356"/>
    </row>
    <row r="10" spans="1:19" x14ac:dyDescent="0.25">
      <c r="A10" s="356"/>
      <c r="B10" s="356"/>
      <c r="C10" s="356"/>
      <c r="D10" s="356"/>
      <c r="E10" s="356"/>
      <c r="F10" s="356"/>
      <c r="G10" s="356"/>
      <c r="H10" s="356"/>
      <c r="I10" s="356"/>
      <c r="J10" s="356"/>
      <c r="K10" s="356"/>
      <c r="L10" s="356"/>
      <c r="M10" s="356"/>
      <c r="N10" s="356"/>
      <c r="O10" s="356"/>
      <c r="P10" s="356"/>
      <c r="Q10" s="356"/>
      <c r="R10" s="356"/>
      <c r="S10" s="356"/>
    </row>
    <row r="11" spans="1:19" ht="18.75" x14ac:dyDescent="0.25">
      <c r="A11" s="509" t="s">
        <v>679</v>
      </c>
      <c r="B11" s="358"/>
      <c r="C11" s="357"/>
      <c r="D11" s="357"/>
      <c r="E11" s="357"/>
      <c r="F11" s="356"/>
      <c r="G11" s="356"/>
      <c r="H11" s="356"/>
      <c r="I11" s="356"/>
      <c r="J11" s="356"/>
      <c r="K11" s="356"/>
      <c r="L11" s="356"/>
      <c r="M11" s="356"/>
      <c r="N11" s="356"/>
      <c r="O11" s="356"/>
      <c r="P11" s="356"/>
      <c r="Q11" s="356"/>
      <c r="R11" s="356"/>
      <c r="S11" s="356"/>
    </row>
    <row r="12" spans="1:19" ht="12.75" customHeight="1" x14ac:dyDescent="0.25">
      <c r="A12" s="356"/>
      <c r="B12" s="356"/>
      <c r="C12" s="356"/>
      <c r="D12" s="356"/>
      <c r="E12" s="356"/>
      <c r="F12" s="356"/>
      <c r="G12" s="356"/>
      <c r="H12" s="356"/>
      <c r="I12" s="356"/>
      <c r="J12" s="356"/>
      <c r="K12" s="356"/>
      <c r="L12" s="356"/>
      <c r="M12" s="356"/>
      <c r="N12" s="356"/>
      <c r="O12" s="356"/>
      <c r="P12" s="356"/>
      <c r="Q12" s="356"/>
      <c r="R12" s="356"/>
      <c r="S12" s="356"/>
    </row>
    <row r="13" spans="1:19" x14ac:dyDescent="0.25">
      <c r="A13" s="356"/>
      <c r="B13" s="557" t="s">
        <v>1009</v>
      </c>
      <c r="C13" s="356"/>
      <c r="D13" s="356"/>
      <c r="E13" s="356"/>
      <c r="F13" s="356"/>
      <c r="G13" s="356"/>
      <c r="H13" s="356"/>
      <c r="I13" s="356"/>
      <c r="J13" s="356"/>
      <c r="K13" s="356"/>
      <c r="L13" s="356"/>
      <c r="M13" s="356"/>
      <c r="N13" s="356"/>
      <c r="O13" s="356"/>
      <c r="P13" s="356"/>
      <c r="Q13" s="356"/>
      <c r="R13" s="356"/>
      <c r="S13" s="356"/>
    </row>
    <row r="14" spans="1:19" ht="12" customHeight="1" x14ac:dyDescent="0.25">
      <c r="A14" s="356"/>
      <c r="B14" s="356"/>
      <c r="C14" s="356"/>
      <c r="D14" s="356"/>
      <c r="E14" s="356"/>
      <c r="F14" s="356"/>
      <c r="G14" s="356"/>
      <c r="H14" s="356"/>
      <c r="I14" s="356"/>
      <c r="J14" s="356"/>
      <c r="K14" s="356"/>
      <c r="L14" s="356"/>
      <c r="M14" s="356"/>
      <c r="N14" s="356"/>
      <c r="O14" s="356"/>
      <c r="P14" s="356"/>
      <c r="Q14" s="356"/>
      <c r="R14" s="356"/>
      <c r="S14" s="356"/>
    </row>
    <row r="15" spans="1:19" ht="15.75" x14ac:dyDescent="0.25">
      <c r="A15" s="356"/>
      <c r="B15" s="375" t="s">
        <v>680</v>
      </c>
      <c r="C15" s="356"/>
      <c r="D15" s="356"/>
      <c r="E15" s="356"/>
      <c r="F15" s="356"/>
      <c r="G15" s="356"/>
      <c r="H15" s="356"/>
      <c r="I15" s="356"/>
      <c r="J15" s="356"/>
      <c r="K15" s="356"/>
      <c r="L15" s="356"/>
      <c r="M15" s="356"/>
      <c r="N15" s="356"/>
      <c r="O15" s="356"/>
      <c r="P15" s="356"/>
      <c r="Q15" s="356"/>
      <c r="R15" s="356"/>
      <c r="S15" s="356"/>
    </row>
    <row r="16" spans="1:19" x14ac:dyDescent="0.25">
      <c r="A16" s="356"/>
      <c r="B16" s="356"/>
      <c r="C16" s="356"/>
      <c r="D16" s="356"/>
      <c r="E16" s="356"/>
      <c r="F16" s="356"/>
      <c r="G16" s="356"/>
      <c r="H16" s="356"/>
      <c r="I16" s="356"/>
      <c r="J16" s="356"/>
      <c r="K16" s="356"/>
      <c r="L16" s="356"/>
      <c r="M16" s="356"/>
      <c r="N16" s="356"/>
      <c r="O16" s="356"/>
      <c r="P16" s="356"/>
      <c r="Q16" s="356"/>
      <c r="R16" s="356"/>
      <c r="S16" s="356"/>
    </row>
    <row r="17" spans="1:19" x14ac:dyDescent="0.25">
      <c r="A17" s="356"/>
      <c r="B17" s="507" t="s">
        <v>968</v>
      </c>
      <c r="C17" s="356"/>
      <c r="D17" s="356"/>
      <c r="E17" s="356"/>
      <c r="F17" s="356"/>
      <c r="G17" s="356"/>
      <c r="H17" s="356"/>
      <c r="I17" s="356"/>
      <c r="J17" s="356"/>
      <c r="K17" s="356"/>
      <c r="L17" s="356"/>
      <c r="M17" s="356"/>
      <c r="N17" s="356"/>
      <c r="O17" s="356"/>
      <c r="P17" s="508"/>
      <c r="Q17" s="508"/>
      <c r="R17" s="356"/>
      <c r="S17" s="356"/>
    </row>
    <row r="18" spans="1:19" x14ac:dyDescent="0.25">
      <c r="A18" s="356"/>
      <c r="B18" s="12" t="s">
        <v>986</v>
      </c>
      <c r="C18" s="356"/>
      <c r="D18" s="356"/>
      <c r="E18" s="356"/>
      <c r="F18" s="356"/>
      <c r="G18" s="356"/>
      <c r="H18" s="356"/>
      <c r="I18" s="356"/>
      <c r="J18" s="356"/>
      <c r="K18" s="356"/>
      <c r="L18" s="356"/>
      <c r="M18" s="356"/>
      <c r="N18" s="356"/>
      <c r="O18" s="356"/>
      <c r="P18" s="508"/>
      <c r="Q18" s="508"/>
      <c r="R18" s="356"/>
      <c r="S18" s="356"/>
    </row>
    <row r="19" spans="1:19" ht="15" customHeight="1" x14ac:dyDescent="0.25">
      <c r="A19" s="356"/>
      <c r="B19" s="1843" t="s">
        <v>3</v>
      </c>
      <c r="C19" s="1843"/>
      <c r="D19" s="1843"/>
      <c r="E19" s="521"/>
      <c r="F19" s="356"/>
      <c r="G19" s="1843" t="s">
        <v>9</v>
      </c>
      <c r="H19" s="1843"/>
      <c r="I19" s="1843"/>
      <c r="J19" s="521"/>
      <c r="K19" s="356"/>
      <c r="L19" s="356"/>
      <c r="M19" s="356"/>
      <c r="N19" s="356"/>
      <c r="O19" s="356"/>
      <c r="P19" s="508" t="b">
        <v>0</v>
      </c>
      <c r="Q19" s="508"/>
      <c r="R19" s="356"/>
      <c r="S19" s="356"/>
    </row>
    <row r="20" spans="1:19" ht="15" customHeight="1" x14ac:dyDescent="0.25">
      <c r="A20" s="356"/>
      <c r="B20" s="473" t="s">
        <v>975</v>
      </c>
      <c r="C20" s="356"/>
      <c r="D20" s="356"/>
      <c r="E20" s="356"/>
      <c r="F20" s="356"/>
      <c r="G20" s="356"/>
      <c r="H20" s="356"/>
      <c r="I20" s="356"/>
      <c r="J20" s="356"/>
      <c r="K20" s="356"/>
      <c r="L20" s="356"/>
      <c r="M20" s="356"/>
      <c r="N20" s="356"/>
      <c r="O20" s="356"/>
      <c r="P20" s="508"/>
      <c r="Q20" s="508"/>
      <c r="R20" s="356"/>
      <c r="S20" s="356"/>
    </row>
    <row r="21" spans="1:19" ht="15" customHeight="1" x14ac:dyDescent="0.25">
      <c r="A21" s="356"/>
      <c r="B21" s="473" t="s">
        <v>987</v>
      </c>
      <c r="C21" s="356"/>
      <c r="D21" s="356"/>
      <c r="E21" s="356"/>
      <c r="F21" s="356"/>
      <c r="G21" s="356"/>
      <c r="H21" s="356"/>
      <c r="I21" s="356"/>
      <c r="J21" s="356"/>
      <c r="K21" s="356"/>
      <c r="L21" s="356"/>
      <c r="M21" s="356"/>
      <c r="N21" s="356"/>
      <c r="O21" s="356"/>
      <c r="P21" s="508"/>
      <c r="Q21" s="508"/>
      <c r="R21" s="356"/>
      <c r="S21" s="356"/>
    </row>
    <row r="22" spans="1:19" ht="15" customHeight="1" x14ac:dyDescent="0.25">
      <c r="A22" s="356"/>
      <c r="B22" s="1843" t="s">
        <v>3</v>
      </c>
      <c r="C22" s="1843"/>
      <c r="D22" s="1843"/>
      <c r="E22" s="521"/>
      <c r="F22" s="356"/>
      <c r="G22" s="1843" t="s">
        <v>9</v>
      </c>
      <c r="H22" s="1843"/>
      <c r="I22" s="1843"/>
      <c r="J22" s="521"/>
      <c r="K22" s="356"/>
      <c r="L22" s="356"/>
      <c r="M22" s="356"/>
      <c r="N22" s="356"/>
      <c r="O22" s="356"/>
      <c r="P22" s="508" t="b">
        <v>0</v>
      </c>
      <c r="Q22" s="508"/>
      <c r="R22" s="356"/>
      <c r="S22" s="356"/>
    </row>
    <row r="23" spans="1:19" ht="9.75" customHeight="1" x14ac:dyDescent="0.25">
      <c r="A23" s="356"/>
      <c r="B23" s="356"/>
      <c r="C23" s="356"/>
      <c r="D23" s="356"/>
      <c r="E23" s="356"/>
      <c r="F23" s="356"/>
      <c r="G23" s="356"/>
      <c r="H23" s="356"/>
      <c r="I23" s="356"/>
      <c r="J23" s="356"/>
      <c r="K23" s="356"/>
      <c r="L23" s="356"/>
      <c r="M23" s="356"/>
      <c r="N23" s="356"/>
      <c r="O23" s="356"/>
      <c r="P23" s="508"/>
      <c r="Q23" s="508"/>
      <c r="R23" s="356"/>
      <c r="S23" s="356"/>
    </row>
    <row r="24" spans="1:19" ht="15" customHeight="1" x14ac:dyDescent="0.25">
      <c r="A24" s="356"/>
      <c r="B24" s="356" t="s">
        <v>967</v>
      </c>
      <c r="C24" s="356"/>
      <c r="D24" s="356"/>
      <c r="E24" s="356"/>
      <c r="F24" s="356"/>
      <c r="G24" s="356"/>
      <c r="H24" s="356"/>
      <c r="I24" s="356"/>
      <c r="J24" s="356"/>
      <c r="K24" s="356"/>
      <c r="L24" s="356"/>
      <c r="M24" s="356"/>
      <c r="N24" s="356"/>
      <c r="O24" s="356"/>
      <c r="P24" s="508"/>
      <c r="Q24" s="508"/>
      <c r="R24" s="356"/>
      <c r="S24" s="356"/>
    </row>
    <row r="25" spans="1:19" ht="29.25" customHeight="1" x14ac:dyDescent="0.25">
      <c r="A25" s="356"/>
      <c r="B25" s="2455"/>
      <c r="C25" s="2455"/>
      <c r="D25" s="2455"/>
      <c r="E25" s="2455"/>
      <c r="F25" s="2455"/>
      <c r="G25" s="2455"/>
      <c r="H25" s="2455"/>
      <c r="I25" s="2455"/>
      <c r="J25" s="2455"/>
      <c r="K25" s="2455"/>
      <c r="L25" s="2455"/>
      <c r="M25" s="2455"/>
      <c r="N25" s="356"/>
      <c r="O25" s="356"/>
      <c r="P25" s="508"/>
      <c r="Q25" s="508"/>
      <c r="R25" s="356"/>
      <c r="S25" s="356"/>
    </row>
    <row r="26" spans="1:19" ht="15" customHeight="1" x14ac:dyDescent="0.25">
      <c r="A26" s="356"/>
      <c r="B26" s="356"/>
      <c r="C26" s="356"/>
      <c r="D26" s="356"/>
      <c r="E26" s="356"/>
      <c r="F26" s="356"/>
      <c r="G26" s="356"/>
      <c r="H26" s="356"/>
      <c r="I26" s="356"/>
      <c r="J26" s="356"/>
      <c r="K26" s="356"/>
      <c r="L26" s="356"/>
      <c r="M26" s="356"/>
      <c r="N26" s="356"/>
      <c r="O26" s="356"/>
      <c r="P26" s="508"/>
      <c r="Q26" s="508"/>
      <c r="R26" s="356"/>
      <c r="S26" s="356"/>
    </row>
    <row r="27" spans="1:19" x14ac:dyDescent="0.25">
      <c r="A27" s="356"/>
      <c r="B27" s="507" t="s">
        <v>1030</v>
      </c>
      <c r="C27" s="356"/>
      <c r="D27" s="356"/>
      <c r="E27" s="356"/>
      <c r="F27" s="356"/>
      <c r="G27" s="356"/>
      <c r="H27" s="356"/>
      <c r="I27" s="356"/>
      <c r="J27" s="356"/>
      <c r="K27" s="356"/>
      <c r="L27" s="356"/>
      <c r="M27" s="356"/>
      <c r="N27" s="356"/>
      <c r="O27" s="356"/>
      <c r="P27" s="508"/>
      <c r="Q27" s="508"/>
      <c r="R27" s="356"/>
      <c r="S27" s="356"/>
    </row>
    <row r="28" spans="1:19" x14ac:dyDescent="0.25">
      <c r="A28" s="356"/>
      <c r="B28" s="12" t="s">
        <v>966</v>
      </c>
      <c r="C28" s="356"/>
      <c r="D28" s="356"/>
      <c r="E28" s="356"/>
      <c r="F28" s="356"/>
      <c r="G28" s="356"/>
      <c r="H28" s="356"/>
      <c r="I28" s="356"/>
      <c r="J28" s="356"/>
      <c r="K28" s="356"/>
      <c r="L28" s="356"/>
      <c r="M28" s="356"/>
      <c r="N28" s="356"/>
      <c r="O28" s="356"/>
      <c r="P28" s="508"/>
      <c r="Q28" s="508"/>
      <c r="R28" s="356"/>
      <c r="S28" s="356"/>
    </row>
    <row r="29" spans="1:19" ht="15" customHeight="1" x14ac:dyDescent="0.25">
      <c r="A29" s="356"/>
      <c r="B29" s="1843" t="s">
        <v>3</v>
      </c>
      <c r="C29" s="1843"/>
      <c r="D29" s="1843"/>
      <c r="E29" s="504"/>
      <c r="F29" s="356"/>
      <c r="G29" s="1843" t="s">
        <v>9</v>
      </c>
      <c r="H29" s="1843"/>
      <c r="I29" s="1843"/>
      <c r="J29" s="504"/>
      <c r="K29" s="356"/>
      <c r="L29" s="356"/>
      <c r="M29" s="356"/>
      <c r="N29" s="356"/>
      <c r="O29" s="356"/>
      <c r="P29" s="508" t="b">
        <v>0</v>
      </c>
      <c r="Q29" s="508"/>
      <c r="R29" s="356"/>
      <c r="S29" s="356"/>
    </row>
    <row r="30" spans="1:19" x14ac:dyDescent="0.25">
      <c r="A30" s="356"/>
      <c r="B30" s="356" t="s">
        <v>988</v>
      </c>
      <c r="C30" s="356"/>
      <c r="D30" s="356"/>
      <c r="E30" s="356"/>
      <c r="F30" s="356"/>
      <c r="G30" s="356"/>
      <c r="H30" s="356"/>
      <c r="I30" s="356"/>
      <c r="J30" s="356"/>
      <c r="K30" s="356"/>
      <c r="L30" s="356"/>
      <c r="M30" s="356"/>
      <c r="N30" s="356"/>
      <c r="O30" s="356"/>
      <c r="P30" s="508"/>
      <c r="Q30" s="508"/>
      <c r="R30" s="356"/>
      <c r="S30" s="356"/>
    </row>
    <row r="31" spans="1:19" ht="9.75" customHeight="1" x14ac:dyDescent="0.25">
      <c r="A31" s="356"/>
      <c r="B31" s="356"/>
      <c r="C31" s="356"/>
      <c r="D31" s="356"/>
      <c r="E31" s="356"/>
      <c r="F31" s="356"/>
      <c r="G31" s="356"/>
      <c r="H31" s="356"/>
      <c r="I31" s="356"/>
      <c r="J31" s="356"/>
      <c r="K31" s="356"/>
      <c r="L31" s="356"/>
      <c r="M31" s="356"/>
      <c r="N31" s="356"/>
      <c r="O31" s="356"/>
      <c r="P31" s="508"/>
      <c r="Q31" s="508"/>
      <c r="R31" s="356"/>
      <c r="S31" s="356"/>
    </row>
    <row r="32" spans="1:19" ht="15" customHeight="1" x14ac:dyDescent="0.25">
      <c r="A32" s="356"/>
      <c r="B32" s="356" t="s">
        <v>967</v>
      </c>
      <c r="C32" s="356"/>
      <c r="D32" s="356"/>
      <c r="E32" s="356"/>
      <c r="F32" s="356"/>
      <c r="G32" s="356"/>
      <c r="H32" s="356"/>
      <c r="I32" s="356"/>
      <c r="J32" s="356"/>
      <c r="K32" s="356"/>
      <c r="L32" s="356"/>
      <c r="M32" s="356"/>
      <c r="N32" s="356"/>
      <c r="O32" s="356"/>
      <c r="P32" s="508"/>
      <c r="Q32" s="508"/>
      <c r="R32" s="356"/>
      <c r="S32" s="356"/>
    </row>
    <row r="33" spans="1:19" ht="29.25" customHeight="1" x14ac:dyDescent="0.25">
      <c r="A33" s="356"/>
      <c r="B33" s="2455"/>
      <c r="C33" s="2455"/>
      <c r="D33" s="2455"/>
      <c r="E33" s="2455"/>
      <c r="F33" s="2455"/>
      <c r="G33" s="2455"/>
      <c r="H33" s="2455"/>
      <c r="I33" s="2455"/>
      <c r="J33" s="2455"/>
      <c r="K33" s="2455"/>
      <c r="L33" s="2455"/>
      <c r="M33" s="2455"/>
      <c r="N33" s="356"/>
      <c r="O33" s="356"/>
      <c r="P33" s="508"/>
      <c r="Q33" s="508"/>
      <c r="R33" s="356"/>
      <c r="S33" s="356"/>
    </row>
    <row r="34" spans="1:19" ht="15" customHeight="1" x14ac:dyDescent="0.25">
      <c r="A34" s="356"/>
      <c r="B34" s="356"/>
      <c r="C34" s="356"/>
      <c r="D34" s="356"/>
      <c r="E34" s="356"/>
      <c r="F34" s="356"/>
      <c r="G34" s="356"/>
      <c r="H34" s="356"/>
      <c r="I34" s="356"/>
      <c r="J34" s="356"/>
      <c r="K34" s="356"/>
      <c r="L34" s="356"/>
      <c r="M34" s="356"/>
      <c r="N34" s="356"/>
      <c r="O34" s="356"/>
      <c r="P34" s="508"/>
      <c r="Q34" s="508"/>
      <c r="R34" s="356"/>
      <c r="S34" s="356"/>
    </row>
    <row r="35" spans="1:19" x14ac:dyDescent="0.25">
      <c r="A35" s="356"/>
      <c r="B35" s="507" t="s">
        <v>1031</v>
      </c>
      <c r="C35" s="356"/>
      <c r="D35" s="356"/>
      <c r="E35" s="356"/>
      <c r="F35" s="356"/>
      <c r="G35" s="356"/>
      <c r="H35" s="356"/>
      <c r="I35" s="356"/>
      <c r="J35" s="356"/>
      <c r="K35" s="356"/>
      <c r="L35" s="356"/>
      <c r="M35" s="356"/>
      <c r="N35" s="356"/>
      <c r="O35" s="356"/>
      <c r="P35" s="508"/>
      <c r="Q35" s="508"/>
      <c r="R35" s="356"/>
      <c r="S35" s="356"/>
    </row>
    <row r="36" spans="1:19" x14ac:dyDescent="0.25">
      <c r="A36" s="356"/>
      <c r="B36" s="12" t="s">
        <v>835</v>
      </c>
      <c r="C36" s="356"/>
      <c r="D36" s="356"/>
      <c r="E36" s="356"/>
      <c r="F36" s="356"/>
      <c r="G36" s="356"/>
      <c r="H36" s="356"/>
      <c r="I36" s="356"/>
      <c r="J36" s="356"/>
      <c r="K36" s="356"/>
      <c r="L36" s="356"/>
      <c r="M36" s="356"/>
      <c r="N36" s="356"/>
      <c r="O36" s="356"/>
      <c r="P36" s="508"/>
      <c r="Q36" s="508"/>
      <c r="R36" s="356"/>
      <c r="S36" s="356"/>
    </row>
    <row r="37" spans="1:19" ht="15.75" customHeight="1" x14ac:dyDescent="0.25">
      <c r="A37" s="356"/>
      <c r="B37" s="1843" t="s">
        <v>836</v>
      </c>
      <c r="C37" s="1843"/>
      <c r="D37" s="1843"/>
      <c r="E37" s="504"/>
      <c r="F37" s="356"/>
      <c r="G37" s="1843" t="s">
        <v>838</v>
      </c>
      <c r="H37" s="1843"/>
      <c r="I37" s="1843"/>
      <c r="J37" s="504"/>
      <c r="K37" s="356"/>
      <c r="L37" s="356"/>
      <c r="M37" s="356"/>
      <c r="N37" s="356"/>
      <c r="O37" s="356"/>
      <c r="P37" s="508" t="b">
        <v>0</v>
      </c>
      <c r="Q37" s="508"/>
      <c r="R37" s="356"/>
      <c r="S37" s="356"/>
    </row>
    <row r="38" spans="1:19" ht="15.75" customHeight="1" x14ac:dyDescent="0.25">
      <c r="A38" s="356"/>
      <c r="B38" s="1843" t="s">
        <v>837</v>
      </c>
      <c r="C38" s="1843"/>
      <c r="D38" s="1843"/>
      <c r="E38" s="504"/>
      <c r="F38" s="356"/>
      <c r="G38" s="1843" t="s">
        <v>839</v>
      </c>
      <c r="H38" s="1843"/>
      <c r="I38" s="1843"/>
      <c r="J38" s="504"/>
      <c r="K38" s="356"/>
      <c r="L38" s="356"/>
      <c r="M38" s="356"/>
      <c r="N38" s="356"/>
      <c r="O38" s="356"/>
      <c r="P38" s="508"/>
      <c r="Q38" s="508"/>
      <c r="R38" s="356"/>
      <c r="S38" s="356"/>
    </row>
    <row r="39" spans="1:19" ht="9.75" customHeight="1" x14ac:dyDescent="0.25">
      <c r="A39" s="356"/>
      <c r="B39" s="356"/>
      <c r="C39" s="356"/>
      <c r="D39" s="356"/>
      <c r="E39" s="356"/>
      <c r="F39" s="356"/>
      <c r="G39" s="356"/>
      <c r="H39" s="356"/>
      <c r="I39" s="356"/>
      <c r="J39" s="356"/>
      <c r="K39" s="356"/>
      <c r="L39" s="356"/>
      <c r="M39" s="356"/>
      <c r="N39" s="356"/>
      <c r="O39" s="356"/>
      <c r="P39" s="508"/>
      <c r="Q39" s="508"/>
      <c r="R39" s="356"/>
      <c r="S39" s="356"/>
    </row>
    <row r="40" spans="1:19" ht="15" customHeight="1" x14ac:dyDescent="0.25">
      <c r="A40" s="356"/>
      <c r="B40" s="356" t="s">
        <v>967</v>
      </c>
      <c r="C40" s="356"/>
      <c r="D40" s="356"/>
      <c r="E40" s="356"/>
      <c r="F40" s="356"/>
      <c r="G40" s="356"/>
      <c r="H40" s="356"/>
      <c r="I40" s="356"/>
      <c r="J40" s="356"/>
      <c r="K40" s="356"/>
      <c r="L40" s="356"/>
      <c r="M40" s="356"/>
      <c r="N40" s="356"/>
      <c r="O40" s="356"/>
      <c r="P40" s="508"/>
      <c r="Q40" s="508"/>
      <c r="R40" s="356"/>
      <c r="S40" s="356"/>
    </row>
    <row r="41" spans="1:19" ht="29.25" customHeight="1" x14ac:dyDescent="0.25">
      <c r="A41" s="356"/>
      <c r="B41" s="2455"/>
      <c r="C41" s="2455"/>
      <c r="D41" s="2455"/>
      <c r="E41" s="2455"/>
      <c r="F41" s="2455"/>
      <c r="G41" s="2455"/>
      <c r="H41" s="2455"/>
      <c r="I41" s="2455"/>
      <c r="J41" s="2455"/>
      <c r="K41" s="2455"/>
      <c r="L41" s="2455"/>
      <c r="M41" s="2455"/>
      <c r="N41" s="356"/>
      <c r="O41" s="356"/>
      <c r="P41" s="508"/>
      <c r="Q41" s="508"/>
      <c r="R41" s="356"/>
      <c r="S41" s="356"/>
    </row>
    <row r="42" spans="1:19" x14ac:dyDescent="0.25">
      <c r="A42" s="356"/>
      <c r="B42" s="356"/>
      <c r="C42" s="356"/>
      <c r="D42" s="356"/>
      <c r="E42" s="356"/>
      <c r="F42" s="356"/>
      <c r="G42" s="356"/>
      <c r="H42" s="356"/>
      <c r="I42" s="356"/>
      <c r="J42" s="356"/>
      <c r="K42" s="356"/>
      <c r="L42" s="356"/>
      <c r="M42" s="356"/>
      <c r="N42" s="356"/>
      <c r="O42" s="356"/>
      <c r="P42" s="356"/>
      <c r="Q42" s="356"/>
      <c r="R42" s="356"/>
      <c r="S42" s="356"/>
    </row>
    <row r="43" spans="1:19" x14ac:dyDescent="0.25">
      <c r="A43" s="356"/>
      <c r="B43" s="356"/>
      <c r="C43" s="356"/>
      <c r="D43" s="356"/>
      <c r="E43" s="356"/>
      <c r="F43" s="356"/>
      <c r="G43" s="356"/>
      <c r="H43" s="356"/>
      <c r="I43" s="356"/>
      <c r="J43" s="356"/>
      <c r="K43" s="356"/>
      <c r="L43" s="356"/>
      <c r="M43" s="356"/>
      <c r="N43" s="356"/>
      <c r="O43" s="356"/>
      <c r="P43" s="356"/>
      <c r="Q43" s="356"/>
      <c r="R43" s="356"/>
      <c r="S43" s="356"/>
    </row>
    <row r="44" spans="1:19" ht="15.75" x14ac:dyDescent="0.25">
      <c r="A44" s="356"/>
      <c r="B44" s="375" t="s">
        <v>681</v>
      </c>
      <c r="C44" s="356"/>
      <c r="D44" s="356"/>
      <c r="E44" s="356"/>
      <c r="F44" s="356"/>
      <c r="G44" s="356"/>
      <c r="H44" s="356"/>
      <c r="I44" s="356"/>
      <c r="J44" s="356"/>
      <c r="K44" s="356"/>
      <c r="L44" s="356"/>
      <c r="M44" s="356"/>
      <c r="N44" s="356"/>
      <c r="O44" s="356"/>
      <c r="P44" s="356"/>
      <c r="Q44" s="356"/>
      <c r="R44" s="356"/>
      <c r="S44" s="356"/>
    </row>
    <row r="45" spans="1:19" ht="12" customHeight="1" x14ac:dyDescent="0.25">
      <c r="A45" s="356"/>
      <c r="C45" s="356"/>
      <c r="D45" s="356"/>
      <c r="E45" s="356"/>
      <c r="F45" s="356"/>
      <c r="G45" s="356"/>
      <c r="H45" s="356"/>
      <c r="I45" s="356"/>
      <c r="J45" s="356"/>
      <c r="K45" s="356"/>
      <c r="L45" s="356"/>
      <c r="M45" s="356"/>
      <c r="N45" s="356"/>
      <c r="O45" s="356"/>
      <c r="P45" s="356"/>
      <c r="Q45" s="356"/>
      <c r="R45" s="356"/>
      <c r="S45" s="356"/>
    </row>
    <row r="46" spans="1:19" x14ac:dyDescent="0.25">
      <c r="A46" s="356"/>
      <c r="B46" s="359" t="s">
        <v>709</v>
      </c>
      <c r="C46" s="356"/>
      <c r="D46" s="356"/>
      <c r="E46" s="356"/>
      <c r="F46" s="356"/>
      <c r="G46" s="356"/>
      <c r="H46" s="356"/>
      <c r="I46" s="356"/>
      <c r="J46" s="356"/>
      <c r="K46" s="356"/>
      <c r="L46" s="356"/>
      <c r="M46" s="356"/>
      <c r="N46" s="356"/>
      <c r="O46" s="356"/>
      <c r="P46" s="356"/>
      <c r="Q46" s="356"/>
      <c r="R46" s="356"/>
      <c r="S46" s="356"/>
    </row>
    <row r="47" spans="1:19" x14ac:dyDescent="0.25">
      <c r="A47" s="356"/>
      <c r="B47" s="359" t="s">
        <v>690</v>
      </c>
      <c r="C47" s="356"/>
      <c r="D47" s="356"/>
      <c r="E47" s="356"/>
      <c r="F47" s="356"/>
      <c r="G47" s="356"/>
      <c r="H47" s="356"/>
      <c r="I47" s="356"/>
      <c r="J47" s="356"/>
      <c r="K47" s="356"/>
      <c r="L47" s="356"/>
      <c r="M47" s="356"/>
      <c r="N47" s="356"/>
      <c r="O47" s="356"/>
      <c r="P47" s="356"/>
      <c r="Q47" s="356"/>
      <c r="R47" s="356"/>
      <c r="S47" s="356"/>
    </row>
    <row r="48" spans="1:19" x14ac:dyDescent="0.25">
      <c r="A48" s="356"/>
      <c r="B48" s="359"/>
      <c r="C48" s="356"/>
      <c r="D48" s="356"/>
      <c r="E48" s="356"/>
      <c r="F48" s="356"/>
      <c r="G48" s="356"/>
      <c r="H48" s="356"/>
      <c r="I48" s="356"/>
      <c r="J48" s="356"/>
      <c r="K48" s="356"/>
      <c r="L48" s="356"/>
      <c r="M48" s="356"/>
      <c r="O48" s="356"/>
      <c r="P48" s="356"/>
      <c r="Q48" s="356"/>
      <c r="R48" s="356"/>
      <c r="S48" s="356"/>
    </row>
    <row r="49" spans="1:19" ht="15.75" x14ac:dyDescent="0.25">
      <c r="A49" s="356"/>
      <c r="B49" s="2477" t="s">
        <v>916</v>
      </c>
      <c r="C49" s="2477"/>
      <c r="D49" s="2477"/>
      <c r="E49" s="2477"/>
      <c r="F49" s="2477"/>
      <c r="G49" s="2477"/>
      <c r="H49" s="2477"/>
      <c r="I49" s="2477"/>
      <c r="J49" s="2477"/>
      <c r="K49" s="2477"/>
      <c r="L49" s="2477"/>
      <c r="M49" s="2477"/>
      <c r="N49" s="2477"/>
      <c r="O49" s="356"/>
      <c r="P49" s="356"/>
      <c r="Q49" s="356"/>
      <c r="R49" s="356"/>
      <c r="S49" s="356"/>
    </row>
    <row r="50" spans="1:19" ht="33.75" customHeight="1" x14ac:dyDescent="0.25">
      <c r="A50" s="356"/>
      <c r="B50" s="2478"/>
      <c r="C50" s="2478"/>
      <c r="D50" s="2478"/>
      <c r="E50" s="2478"/>
      <c r="F50" s="2478"/>
      <c r="G50" s="2478"/>
      <c r="H50" s="2478"/>
      <c r="I50" s="2478"/>
      <c r="J50" s="2478"/>
      <c r="K50" s="2478"/>
      <c r="L50" s="2478"/>
      <c r="M50" s="2478"/>
      <c r="N50" s="2478"/>
      <c r="O50" s="356"/>
      <c r="P50" s="356"/>
      <c r="Q50" s="356"/>
      <c r="R50" s="356"/>
      <c r="S50" s="356"/>
    </row>
    <row r="51" spans="1:19" x14ac:dyDescent="0.25">
      <c r="A51" s="356"/>
      <c r="B51" s="359"/>
      <c r="C51" s="356"/>
      <c r="D51" s="356"/>
      <c r="E51" s="356"/>
      <c r="F51" s="356"/>
      <c r="G51" s="356"/>
      <c r="H51" s="356"/>
      <c r="I51" s="356"/>
      <c r="J51" s="356"/>
      <c r="K51" s="356"/>
      <c r="L51" s="356"/>
      <c r="M51" s="356"/>
      <c r="N51" s="356"/>
      <c r="O51" s="356"/>
      <c r="P51" s="356"/>
      <c r="Q51" s="356"/>
      <c r="R51" s="356"/>
      <c r="S51" s="356"/>
    </row>
    <row r="52" spans="1:19" ht="15.75" x14ac:dyDescent="0.25">
      <c r="A52" s="356"/>
      <c r="B52" s="2462" t="s">
        <v>915</v>
      </c>
      <c r="C52" s="2462"/>
      <c r="D52" s="2462"/>
      <c r="E52" s="2462"/>
      <c r="F52" s="2462"/>
      <c r="G52" s="2471" t="s">
        <v>714</v>
      </c>
      <c r="H52" s="2472"/>
      <c r="I52" s="2472"/>
      <c r="J52" s="2472"/>
      <c r="K52" s="2472"/>
      <c r="L52" s="2472"/>
      <c r="M52" s="2472"/>
      <c r="N52" s="2473"/>
      <c r="O52" s="356"/>
      <c r="P52" s="356"/>
      <c r="Q52" s="356"/>
      <c r="R52" s="356"/>
      <c r="S52" s="356"/>
    </row>
    <row r="53" spans="1:19" x14ac:dyDescent="0.25">
      <c r="A53" s="356"/>
      <c r="B53" s="2460" t="s">
        <v>195</v>
      </c>
      <c r="C53" s="2460"/>
      <c r="D53" s="2460"/>
      <c r="E53" s="2460"/>
      <c r="F53" s="2460"/>
      <c r="G53" s="2456"/>
      <c r="H53" s="2456"/>
      <c r="I53" s="2456"/>
      <c r="J53" s="2456"/>
      <c r="K53" s="2456"/>
      <c r="L53" s="2456"/>
      <c r="M53" s="2456"/>
      <c r="N53" s="2457"/>
      <c r="O53" s="356"/>
      <c r="P53" s="356"/>
      <c r="Q53" s="356"/>
      <c r="R53" s="356"/>
      <c r="S53" s="356"/>
    </row>
    <row r="54" spans="1:19" x14ac:dyDescent="0.25">
      <c r="A54" s="356"/>
      <c r="B54" s="2460" t="s">
        <v>710</v>
      </c>
      <c r="C54" s="2460"/>
      <c r="D54" s="2460"/>
      <c r="E54" s="2460"/>
      <c r="F54" s="2460"/>
      <c r="G54" s="2458"/>
      <c r="H54" s="2458"/>
      <c r="I54" s="2458"/>
      <c r="J54" s="2458"/>
      <c r="K54" s="2458"/>
      <c r="L54" s="2458" t="b">
        <v>0</v>
      </c>
      <c r="M54" s="2458"/>
      <c r="N54" s="2459"/>
      <c r="O54" s="356"/>
      <c r="P54" s="356"/>
      <c r="Q54" s="356"/>
      <c r="R54" s="356"/>
      <c r="S54" s="356"/>
    </row>
    <row r="55" spans="1:19" x14ac:dyDescent="0.25">
      <c r="A55" s="356"/>
      <c r="B55" s="2460" t="s">
        <v>52</v>
      </c>
      <c r="C55" s="2460"/>
      <c r="D55" s="2460"/>
      <c r="E55" s="2460"/>
      <c r="F55" s="2460"/>
      <c r="G55" s="2456"/>
      <c r="H55" s="2456"/>
      <c r="I55" s="2456"/>
      <c r="J55" s="2456"/>
      <c r="K55" s="2456"/>
      <c r="L55" s="2456"/>
      <c r="M55" s="2456"/>
      <c r="N55" s="2457"/>
      <c r="O55" s="356"/>
      <c r="P55" s="356"/>
      <c r="Q55" s="356"/>
      <c r="R55" s="356"/>
      <c r="S55" s="356"/>
    </row>
    <row r="56" spans="1:19" x14ac:dyDescent="0.25">
      <c r="A56" s="356"/>
      <c r="B56" s="2460" t="s">
        <v>711</v>
      </c>
      <c r="C56" s="2460"/>
      <c r="D56" s="2460"/>
      <c r="E56" s="2460"/>
      <c r="F56" s="2460"/>
      <c r="G56" s="2458"/>
      <c r="H56" s="2458"/>
      <c r="I56" s="2458"/>
      <c r="J56" s="2458"/>
      <c r="K56" s="2458"/>
      <c r="L56" s="2458"/>
      <c r="M56" s="2458"/>
      <c r="N56" s="2459"/>
      <c r="O56" s="356"/>
      <c r="P56" s="356"/>
      <c r="Q56" s="356"/>
      <c r="R56" s="356"/>
      <c r="S56" s="356"/>
    </row>
    <row r="57" spans="1:19" x14ac:dyDescent="0.25">
      <c r="A57" s="356"/>
      <c r="B57" s="2460" t="s">
        <v>712</v>
      </c>
      <c r="C57" s="2460"/>
      <c r="D57" s="2460"/>
      <c r="E57" s="2460"/>
      <c r="F57" s="2460"/>
      <c r="G57" s="2456"/>
      <c r="H57" s="2456"/>
      <c r="I57" s="2456"/>
      <c r="J57" s="2456"/>
      <c r="K57" s="2456"/>
      <c r="L57" s="2456"/>
      <c r="M57" s="2456"/>
      <c r="N57" s="2457"/>
      <c r="O57" s="356"/>
      <c r="P57" s="356"/>
      <c r="Q57" s="356"/>
      <c r="R57" s="356"/>
      <c r="S57" s="356"/>
    </row>
    <row r="58" spans="1:19" x14ac:dyDescent="0.25">
      <c r="A58" s="356"/>
      <c r="B58" s="2461" t="s">
        <v>976</v>
      </c>
      <c r="C58" s="2461"/>
      <c r="D58" s="2461"/>
      <c r="E58" s="2461"/>
      <c r="F58" s="2461"/>
      <c r="G58" s="2458"/>
      <c r="H58" s="2458"/>
      <c r="I58" s="2458"/>
      <c r="J58" s="2458"/>
      <c r="K58" s="2458"/>
      <c r="L58" s="2458"/>
      <c r="M58" s="2458"/>
      <c r="N58" s="2459"/>
      <c r="O58" s="356"/>
      <c r="P58" s="356"/>
      <c r="Q58" s="356"/>
      <c r="R58" s="356"/>
      <c r="S58" s="356"/>
    </row>
    <row r="59" spans="1:19" x14ac:dyDescent="0.25">
      <c r="A59" s="356"/>
      <c r="B59" s="2461" t="s">
        <v>977</v>
      </c>
      <c r="C59" s="2461"/>
      <c r="D59" s="2461"/>
      <c r="E59" s="2461"/>
      <c r="F59" s="2461"/>
      <c r="G59" s="554"/>
      <c r="H59" s="554"/>
      <c r="I59" s="554"/>
      <c r="J59" s="554"/>
      <c r="K59" s="554"/>
      <c r="L59" s="554"/>
      <c r="M59" s="554"/>
      <c r="N59" s="555"/>
      <c r="O59" s="356"/>
      <c r="P59" s="356"/>
      <c r="Q59" s="356"/>
      <c r="R59" s="356"/>
      <c r="S59" s="356"/>
    </row>
    <row r="60" spans="1:19" x14ac:dyDescent="0.25">
      <c r="A60" s="356"/>
      <c r="B60" s="2460" t="s">
        <v>713</v>
      </c>
      <c r="C60" s="2460"/>
      <c r="D60" s="2460"/>
      <c r="E60" s="2460"/>
      <c r="F60" s="2460"/>
      <c r="G60" s="2486"/>
      <c r="H60" s="2487"/>
      <c r="I60" s="2487"/>
      <c r="J60" s="2487"/>
      <c r="K60" s="2487"/>
      <c r="L60" s="2487"/>
      <c r="M60" s="2487"/>
      <c r="N60" s="2488"/>
      <c r="O60" s="356"/>
      <c r="P60" s="356"/>
      <c r="Q60" s="356"/>
      <c r="R60" s="356"/>
      <c r="S60" s="356"/>
    </row>
    <row r="61" spans="1:19" x14ac:dyDescent="0.25">
      <c r="A61" s="356"/>
      <c r="B61" s="2460" t="s">
        <v>296</v>
      </c>
      <c r="C61" s="2460"/>
      <c r="D61" s="2460"/>
      <c r="E61" s="2460"/>
      <c r="F61" s="2460"/>
      <c r="G61" s="2456"/>
      <c r="H61" s="2456"/>
      <c r="I61" s="2456"/>
      <c r="J61" s="2456"/>
      <c r="K61" s="2456"/>
      <c r="L61" s="2456"/>
      <c r="M61" s="2456"/>
      <c r="N61" s="2457"/>
      <c r="O61" s="356"/>
      <c r="P61" s="356"/>
      <c r="Q61" s="356"/>
      <c r="R61" s="356"/>
      <c r="S61" s="356"/>
    </row>
    <row r="62" spans="1:19" x14ac:dyDescent="0.25">
      <c r="A62" s="356"/>
      <c r="B62" s="550"/>
      <c r="C62" s="551"/>
      <c r="D62" s="551"/>
      <c r="E62" s="551"/>
      <c r="F62" s="551"/>
      <c r="G62" s="551"/>
      <c r="H62" s="551"/>
      <c r="I62" s="551"/>
      <c r="J62" s="551"/>
      <c r="K62" s="551"/>
      <c r="L62" s="551"/>
      <c r="M62" s="551"/>
      <c r="N62" s="551"/>
      <c r="O62" s="356"/>
      <c r="P62" s="356"/>
      <c r="Q62" s="356"/>
      <c r="R62" s="356"/>
      <c r="S62" s="356"/>
    </row>
    <row r="63" spans="1:19" ht="16.5" customHeight="1" x14ac:dyDescent="0.25">
      <c r="A63" s="356"/>
      <c r="B63" s="374" t="s">
        <v>363</v>
      </c>
      <c r="C63" s="2462" t="s">
        <v>683</v>
      </c>
      <c r="D63" s="2462"/>
      <c r="E63" s="2462"/>
      <c r="F63" s="2462"/>
      <c r="G63" s="2474" t="s">
        <v>714</v>
      </c>
      <c r="H63" s="2475"/>
      <c r="I63" s="2475"/>
      <c r="J63" s="2475"/>
      <c r="K63" s="2475"/>
      <c r="L63" s="2475"/>
      <c r="M63" s="2475"/>
      <c r="N63" s="2476"/>
      <c r="O63" s="356"/>
      <c r="P63" s="356"/>
      <c r="Q63" s="356"/>
      <c r="R63" s="356"/>
      <c r="S63" s="356"/>
    </row>
    <row r="64" spans="1:19" ht="21" customHeight="1" x14ac:dyDescent="0.25">
      <c r="A64" s="356"/>
      <c r="B64" s="545" t="s">
        <v>59</v>
      </c>
      <c r="C64" s="2466" t="s">
        <v>691</v>
      </c>
      <c r="D64" s="2466"/>
      <c r="E64" s="2466"/>
      <c r="F64" s="2466"/>
      <c r="G64" s="2376"/>
      <c r="H64" s="2377"/>
      <c r="I64" s="2377"/>
      <c r="J64" s="2377"/>
      <c r="K64" s="2377"/>
      <c r="L64" s="2377"/>
      <c r="M64" s="2377"/>
      <c r="N64" s="2378"/>
      <c r="O64" s="356"/>
      <c r="P64" s="356"/>
      <c r="Q64" s="356"/>
      <c r="R64" s="356"/>
      <c r="S64" s="356"/>
    </row>
    <row r="65" spans="1:19" ht="21" customHeight="1" x14ac:dyDescent="0.25">
      <c r="A65" s="356"/>
      <c r="B65" s="546" t="s">
        <v>63</v>
      </c>
      <c r="C65" s="2467" t="s">
        <v>48</v>
      </c>
      <c r="D65" s="2467"/>
      <c r="E65" s="2467" t="s">
        <v>18</v>
      </c>
      <c r="F65" s="2467"/>
      <c r="G65" s="2463"/>
      <c r="H65" s="2464"/>
      <c r="I65" s="2464"/>
      <c r="J65" s="2464"/>
      <c r="K65" s="2464"/>
      <c r="L65" s="2464"/>
      <c r="M65" s="2464"/>
      <c r="N65" s="2465"/>
      <c r="O65" s="356"/>
      <c r="P65" s="356"/>
      <c r="Q65" s="356"/>
      <c r="R65" s="356"/>
      <c r="S65" s="356"/>
    </row>
    <row r="66" spans="1:19" ht="21" customHeight="1" x14ac:dyDescent="0.25">
      <c r="A66" s="356"/>
      <c r="B66" s="545" t="s">
        <v>682</v>
      </c>
      <c r="C66" s="2466" t="s">
        <v>692</v>
      </c>
      <c r="D66" s="2466"/>
      <c r="E66" s="2466" t="s">
        <v>366</v>
      </c>
      <c r="F66" s="2466"/>
      <c r="G66" s="2376"/>
      <c r="H66" s="2377"/>
      <c r="I66" s="2377"/>
      <c r="J66" s="2377"/>
      <c r="K66" s="2377"/>
      <c r="L66" s="2377"/>
      <c r="M66" s="2377"/>
      <c r="N66" s="2378"/>
      <c r="O66" s="356"/>
      <c r="P66" s="356"/>
      <c r="Q66" s="356"/>
      <c r="R66" s="356"/>
      <c r="S66" s="356"/>
    </row>
    <row r="67" spans="1:19" ht="21" customHeight="1" x14ac:dyDescent="0.25">
      <c r="A67" s="356"/>
      <c r="B67" s="546" t="s">
        <v>70</v>
      </c>
      <c r="C67" s="2467" t="s">
        <v>71</v>
      </c>
      <c r="D67" s="2467"/>
      <c r="E67" s="2467" t="s">
        <v>21</v>
      </c>
      <c r="F67" s="2467"/>
      <c r="G67" s="2463"/>
      <c r="H67" s="2464"/>
      <c r="I67" s="2464"/>
      <c r="J67" s="2464"/>
      <c r="K67" s="2464"/>
      <c r="L67" s="2464"/>
      <c r="M67" s="2464"/>
      <c r="N67" s="2465"/>
      <c r="O67" s="356"/>
      <c r="P67" s="356"/>
      <c r="Q67" s="356"/>
      <c r="R67" s="356"/>
      <c r="S67" s="356"/>
    </row>
    <row r="68" spans="1:19" ht="21" customHeight="1" x14ac:dyDescent="0.25">
      <c r="A68" s="356"/>
      <c r="B68" s="545" t="s">
        <v>74</v>
      </c>
      <c r="C68" s="2468" t="s">
        <v>969</v>
      </c>
      <c r="D68" s="2468"/>
      <c r="E68" s="2468" t="s">
        <v>97</v>
      </c>
      <c r="F68" s="2468"/>
      <c r="G68" s="2376"/>
      <c r="H68" s="2377"/>
      <c r="I68" s="2377"/>
      <c r="J68" s="2377"/>
      <c r="K68" s="2377"/>
      <c r="L68" s="2377"/>
      <c r="M68" s="2377"/>
      <c r="N68" s="2378"/>
      <c r="O68" s="356"/>
      <c r="P68" s="356"/>
      <c r="Q68" s="356"/>
      <c r="R68" s="356"/>
      <c r="S68" s="356"/>
    </row>
    <row r="69" spans="1:19" ht="21" customHeight="1" x14ac:dyDescent="0.25">
      <c r="A69" s="356"/>
      <c r="B69" s="546" t="s">
        <v>78</v>
      </c>
      <c r="C69" s="2467" t="s">
        <v>75</v>
      </c>
      <c r="D69" s="2467"/>
      <c r="E69" s="2467" t="s">
        <v>96</v>
      </c>
      <c r="F69" s="2467"/>
      <c r="G69" s="2463"/>
      <c r="H69" s="2464"/>
      <c r="I69" s="2464"/>
      <c r="J69" s="2464"/>
      <c r="K69" s="2464"/>
      <c r="L69" s="2464"/>
      <c r="M69" s="2464"/>
      <c r="N69" s="2465"/>
      <c r="O69" s="356"/>
      <c r="P69" s="356"/>
      <c r="Q69" s="356"/>
      <c r="R69" s="356"/>
      <c r="S69" s="356"/>
    </row>
    <row r="70" spans="1:19" ht="21" customHeight="1" x14ac:dyDescent="0.25">
      <c r="A70" s="356"/>
      <c r="B70" s="545" t="s">
        <v>99</v>
      </c>
      <c r="C70" s="2466" t="s">
        <v>693</v>
      </c>
      <c r="D70" s="2466"/>
      <c r="E70" s="2466" t="s">
        <v>125</v>
      </c>
      <c r="F70" s="2466"/>
      <c r="G70" s="2376"/>
      <c r="H70" s="2377"/>
      <c r="I70" s="2377"/>
      <c r="J70" s="2377"/>
      <c r="K70" s="2377"/>
      <c r="L70" s="2377"/>
      <c r="M70" s="2377"/>
      <c r="N70" s="2378"/>
      <c r="O70" s="356"/>
      <c r="P70" s="356"/>
      <c r="Q70" s="356"/>
      <c r="R70" s="356"/>
      <c r="S70" s="356"/>
    </row>
    <row r="71" spans="1:19" ht="21" customHeight="1" x14ac:dyDescent="0.25">
      <c r="A71" s="356"/>
      <c r="B71" s="546" t="s">
        <v>694</v>
      </c>
      <c r="C71" s="2467" t="s">
        <v>365</v>
      </c>
      <c r="D71" s="2467"/>
      <c r="E71" s="2467"/>
      <c r="F71" s="2467"/>
      <c r="G71" s="2463"/>
      <c r="H71" s="2464"/>
      <c r="I71" s="2464"/>
      <c r="J71" s="2464"/>
      <c r="K71" s="2464"/>
      <c r="L71" s="2464"/>
      <c r="M71" s="2464"/>
      <c r="N71" s="2465"/>
      <c r="O71" s="356"/>
      <c r="P71" s="356"/>
      <c r="Q71" s="356"/>
      <c r="R71" s="356"/>
      <c r="S71" s="356"/>
    </row>
    <row r="72" spans="1:19" ht="21" customHeight="1" x14ac:dyDescent="0.25">
      <c r="A72" s="356"/>
      <c r="B72" s="538" t="s">
        <v>85</v>
      </c>
      <c r="C72" s="2466" t="s">
        <v>86</v>
      </c>
      <c r="D72" s="2466"/>
      <c r="E72" s="2466" t="s">
        <v>32</v>
      </c>
      <c r="F72" s="2466"/>
      <c r="G72" s="2376"/>
      <c r="H72" s="2377"/>
      <c r="I72" s="2377"/>
      <c r="J72" s="2377"/>
      <c r="K72" s="2377"/>
      <c r="L72" s="2377"/>
      <c r="M72" s="2377"/>
      <c r="N72" s="2378"/>
      <c r="O72" s="356"/>
      <c r="P72" s="356"/>
      <c r="Q72" s="356"/>
      <c r="R72" s="356"/>
      <c r="S72" s="356"/>
    </row>
    <row r="73" spans="1:19" ht="21" customHeight="1" x14ac:dyDescent="0.25">
      <c r="A73" s="356"/>
      <c r="B73" s="539" t="s">
        <v>90</v>
      </c>
      <c r="C73" s="2467" t="s">
        <v>91</v>
      </c>
      <c r="D73" s="2467"/>
      <c r="E73" s="2467" t="s">
        <v>33</v>
      </c>
      <c r="F73" s="2467"/>
      <c r="G73" s="2463"/>
      <c r="H73" s="2464"/>
      <c r="I73" s="2464"/>
      <c r="J73" s="2464"/>
      <c r="K73" s="2464"/>
      <c r="L73" s="2464"/>
      <c r="M73" s="2464"/>
      <c r="N73" s="2465"/>
      <c r="O73" s="356"/>
      <c r="P73" s="356"/>
      <c r="Q73" s="356"/>
      <c r="R73" s="356"/>
      <c r="S73" s="356"/>
    </row>
    <row r="74" spans="1:19" ht="21" customHeight="1" x14ac:dyDescent="0.25">
      <c r="A74" s="356"/>
      <c r="B74" s="547" t="s">
        <v>684</v>
      </c>
      <c r="C74" s="2466" t="s">
        <v>696</v>
      </c>
      <c r="D74" s="2466"/>
      <c r="E74" s="2466" t="s">
        <v>244</v>
      </c>
      <c r="F74" s="2466"/>
      <c r="G74" s="2376"/>
      <c r="H74" s="2377"/>
      <c r="I74" s="2377"/>
      <c r="J74" s="2377"/>
      <c r="K74" s="2377"/>
      <c r="L74" s="2377"/>
      <c r="M74" s="2377"/>
      <c r="N74" s="2378"/>
      <c r="O74" s="356"/>
      <c r="P74" s="356"/>
      <c r="Q74" s="356"/>
      <c r="R74" s="356"/>
      <c r="S74" s="356"/>
    </row>
    <row r="75" spans="1:19" ht="21" customHeight="1" x14ac:dyDescent="0.25">
      <c r="A75" s="356"/>
      <c r="B75" s="539" t="s">
        <v>695</v>
      </c>
      <c r="C75" s="2467" t="s">
        <v>365</v>
      </c>
      <c r="D75" s="2467"/>
      <c r="E75" s="2467" t="s">
        <v>365</v>
      </c>
      <c r="F75" s="2467"/>
      <c r="G75" s="2463"/>
      <c r="H75" s="2464"/>
      <c r="I75" s="2464"/>
      <c r="J75" s="2464"/>
      <c r="K75" s="2464"/>
      <c r="L75" s="2464"/>
      <c r="M75" s="2464"/>
      <c r="N75" s="2465"/>
      <c r="O75" s="356"/>
      <c r="P75" s="356"/>
      <c r="Q75" s="356"/>
      <c r="R75" s="356"/>
      <c r="S75" s="356"/>
    </row>
    <row r="76" spans="1:19" ht="21" customHeight="1" x14ac:dyDescent="0.25">
      <c r="A76" s="356"/>
      <c r="B76" s="540" t="s">
        <v>685</v>
      </c>
      <c r="C76" s="2466" t="s">
        <v>613</v>
      </c>
      <c r="D76" s="2466"/>
      <c r="E76" s="2466" t="s">
        <v>590</v>
      </c>
      <c r="F76" s="2466"/>
      <c r="G76" s="2376"/>
      <c r="H76" s="2377"/>
      <c r="I76" s="2377"/>
      <c r="J76" s="2377"/>
      <c r="K76" s="2377"/>
      <c r="L76" s="2377"/>
      <c r="M76" s="2377"/>
      <c r="N76" s="2378"/>
      <c r="O76" s="356"/>
      <c r="P76" s="356"/>
      <c r="Q76" s="356"/>
      <c r="R76" s="356"/>
      <c r="S76" s="356"/>
    </row>
    <row r="77" spans="1:19" ht="21" customHeight="1" x14ac:dyDescent="0.25">
      <c r="A77" s="356"/>
      <c r="B77" s="541" t="s">
        <v>60</v>
      </c>
      <c r="C77" s="2483" t="s">
        <v>772</v>
      </c>
      <c r="D77" s="2483"/>
      <c r="E77" s="2483" t="s">
        <v>614</v>
      </c>
      <c r="F77" s="2483"/>
      <c r="G77" s="2463"/>
      <c r="H77" s="2464"/>
      <c r="I77" s="2464"/>
      <c r="J77" s="2464"/>
      <c r="K77" s="2464"/>
      <c r="L77" s="2464"/>
      <c r="M77" s="2464"/>
      <c r="N77" s="2465"/>
      <c r="O77" s="356"/>
      <c r="P77" s="356"/>
      <c r="Q77" s="356"/>
      <c r="R77" s="356"/>
      <c r="S77" s="356"/>
    </row>
    <row r="78" spans="1:19" ht="21" customHeight="1" x14ac:dyDescent="0.25">
      <c r="A78" s="356"/>
      <c r="B78" s="540" t="s">
        <v>64</v>
      </c>
      <c r="C78" s="2466" t="s">
        <v>610</v>
      </c>
      <c r="D78" s="2466"/>
      <c r="E78" s="2466" t="s">
        <v>615</v>
      </c>
      <c r="F78" s="2466"/>
      <c r="G78" s="2376"/>
      <c r="H78" s="2377"/>
      <c r="I78" s="2377"/>
      <c r="J78" s="2377"/>
      <c r="K78" s="2377"/>
      <c r="L78" s="2377"/>
      <c r="M78" s="2377"/>
      <c r="N78" s="2378"/>
      <c r="O78" s="356"/>
      <c r="P78" s="356"/>
      <c r="Q78" s="356"/>
      <c r="R78" s="356"/>
      <c r="S78" s="356"/>
    </row>
    <row r="79" spans="1:19" ht="21" customHeight="1" x14ac:dyDescent="0.25">
      <c r="A79" s="356"/>
      <c r="B79" s="541" t="s">
        <v>68</v>
      </c>
      <c r="C79" s="2467" t="s">
        <v>612</v>
      </c>
      <c r="D79" s="2467"/>
      <c r="E79" s="2467" t="s">
        <v>616</v>
      </c>
      <c r="F79" s="2467"/>
      <c r="G79" s="2463"/>
      <c r="H79" s="2464"/>
      <c r="I79" s="2464"/>
      <c r="J79" s="2464"/>
      <c r="K79" s="2464"/>
      <c r="L79" s="2464"/>
      <c r="M79" s="2464"/>
      <c r="N79" s="2465"/>
      <c r="O79" s="356"/>
      <c r="P79" s="356"/>
      <c r="Q79" s="356"/>
      <c r="R79" s="356"/>
      <c r="S79" s="356"/>
    </row>
    <row r="80" spans="1:19" ht="21" customHeight="1" x14ac:dyDescent="0.25">
      <c r="A80" s="356"/>
      <c r="B80" s="540" t="s">
        <v>72</v>
      </c>
      <c r="C80" s="2466" t="s">
        <v>611</v>
      </c>
      <c r="D80" s="2466"/>
      <c r="E80" s="2466" t="s">
        <v>617</v>
      </c>
      <c r="F80" s="2466"/>
      <c r="G80" s="2376"/>
      <c r="H80" s="2377"/>
      <c r="I80" s="2377"/>
      <c r="J80" s="2377"/>
      <c r="K80" s="2377"/>
      <c r="L80" s="2377"/>
      <c r="M80" s="2377"/>
      <c r="N80" s="2378"/>
      <c r="O80" s="356"/>
      <c r="P80" s="356"/>
      <c r="Q80" s="356"/>
      <c r="R80" s="356"/>
      <c r="S80" s="356"/>
    </row>
    <row r="81" spans="1:19" ht="21" customHeight="1" x14ac:dyDescent="0.25">
      <c r="A81" s="356"/>
      <c r="B81" s="541" t="s">
        <v>591</v>
      </c>
      <c r="C81" s="2483" t="s">
        <v>757</v>
      </c>
      <c r="D81" s="2483"/>
      <c r="E81" s="2483" t="s">
        <v>618</v>
      </c>
      <c r="F81" s="2483"/>
      <c r="G81" s="2463"/>
      <c r="H81" s="2464"/>
      <c r="I81" s="2464"/>
      <c r="J81" s="2464"/>
      <c r="K81" s="2464"/>
      <c r="L81" s="2464"/>
      <c r="M81" s="2464"/>
      <c r="N81" s="2465"/>
      <c r="O81" s="356"/>
      <c r="P81" s="356"/>
      <c r="Q81" s="356"/>
      <c r="R81" s="356"/>
      <c r="S81" s="356"/>
    </row>
    <row r="82" spans="1:19" ht="21" customHeight="1" x14ac:dyDescent="0.25">
      <c r="A82" s="356"/>
      <c r="B82" s="542" t="s">
        <v>80</v>
      </c>
      <c r="C82" s="2467" t="s">
        <v>81</v>
      </c>
      <c r="D82" s="2467"/>
      <c r="E82" s="2467" t="s">
        <v>12</v>
      </c>
      <c r="F82" s="2467"/>
      <c r="G82" s="2376"/>
      <c r="H82" s="2377"/>
      <c r="I82" s="2377"/>
      <c r="J82" s="2377"/>
      <c r="K82" s="2377"/>
      <c r="L82" s="2377"/>
      <c r="M82" s="2377"/>
      <c r="N82" s="2378"/>
      <c r="O82" s="356"/>
      <c r="P82" s="356"/>
      <c r="Q82" s="356"/>
      <c r="R82" s="356"/>
      <c r="S82" s="356"/>
    </row>
    <row r="83" spans="1:19" ht="21" customHeight="1" x14ac:dyDescent="0.25">
      <c r="A83" s="356"/>
      <c r="B83" s="543" t="s">
        <v>82</v>
      </c>
      <c r="C83" s="2467" t="s">
        <v>686</v>
      </c>
      <c r="D83" s="2467"/>
      <c r="E83" s="2467" t="s">
        <v>13</v>
      </c>
      <c r="F83" s="2467"/>
      <c r="G83" s="2463"/>
      <c r="H83" s="2464"/>
      <c r="I83" s="2464"/>
      <c r="J83" s="2464"/>
      <c r="K83" s="2464"/>
      <c r="L83" s="2464"/>
      <c r="M83" s="2464"/>
      <c r="N83" s="2465"/>
      <c r="O83" s="356"/>
      <c r="P83" s="356"/>
      <c r="Q83" s="356"/>
      <c r="R83" s="356"/>
      <c r="S83" s="356"/>
    </row>
    <row r="84" spans="1:19" ht="21" customHeight="1" x14ac:dyDescent="0.25">
      <c r="A84" s="356"/>
      <c r="B84" s="542" t="s">
        <v>87</v>
      </c>
      <c r="C84" s="2467" t="s">
        <v>88</v>
      </c>
      <c r="D84" s="2467"/>
      <c r="E84" s="2467" t="s">
        <v>14</v>
      </c>
      <c r="F84" s="2467"/>
      <c r="G84" s="2376"/>
      <c r="H84" s="2377"/>
      <c r="I84" s="2377"/>
      <c r="J84" s="2377"/>
      <c r="K84" s="2377"/>
      <c r="L84" s="2377"/>
      <c r="M84" s="2377"/>
      <c r="N84" s="2378"/>
      <c r="O84" s="356"/>
      <c r="P84" s="356"/>
      <c r="Q84" s="356"/>
      <c r="R84" s="356"/>
      <c r="S84" s="356"/>
    </row>
    <row r="85" spans="1:19" ht="21" customHeight="1" x14ac:dyDescent="0.25">
      <c r="A85" s="356"/>
      <c r="B85" s="543" t="s">
        <v>92</v>
      </c>
      <c r="C85" s="2467" t="s">
        <v>95</v>
      </c>
      <c r="D85" s="2467"/>
      <c r="E85" s="2467" t="s">
        <v>132</v>
      </c>
      <c r="F85" s="2467"/>
      <c r="G85" s="2463"/>
      <c r="H85" s="2464"/>
      <c r="I85" s="2464"/>
      <c r="J85" s="2464"/>
      <c r="K85" s="2464"/>
      <c r="L85" s="2464"/>
      <c r="M85" s="2464"/>
      <c r="N85" s="2465"/>
      <c r="O85" s="356"/>
      <c r="P85" s="356"/>
      <c r="Q85" s="356"/>
      <c r="R85" s="356"/>
      <c r="S85" s="356"/>
    </row>
    <row r="86" spans="1:19" ht="21" customHeight="1" x14ac:dyDescent="0.25">
      <c r="A86" s="356"/>
      <c r="B86" s="543" t="s">
        <v>729</v>
      </c>
      <c r="C86" s="2483" t="s">
        <v>730</v>
      </c>
      <c r="D86" s="2483"/>
      <c r="E86" s="2483" t="s">
        <v>132</v>
      </c>
      <c r="F86" s="2483"/>
      <c r="G86" s="2376"/>
      <c r="H86" s="2377"/>
      <c r="I86" s="2377"/>
      <c r="J86" s="2377"/>
      <c r="K86" s="2377"/>
      <c r="L86" s="2377"/>
      <c r="M86" s="2377"/>
      <c r="N86" s="2378"/>
      <c r="O86" s="356"/>
      <c r="P86" s="356"/>
      <c r="Q86" s="356"/>
      <c r="R86" s="356"/>
      <c r="S86" s="356"/>
    </row>
    <row r="87" spans="1:19" ht="21" customHeight="1" x14ac:dyDescent="0.25">
      <c r="A87" s="356"/>
      <c r="B87" s="544" t="s">
        <v>697</v>
      </c>
      <c r="C87" s="2467" t="s">
        <v>365</v>
      </c>
      <c r="D87" s="2467"/>
      <c r="E87" s="2467" t="s">
        <v>365</v>
      </c>
      <c r="F87" s="2467"/>
      <c r="G87" s="2463"/>
      <c r="H87" s="2464"/>
      <c r="I87" s="2464"/>
      <c r="J87" s="2464"/>
      <c r="K87" s="2464"/>
      <c r="L87" s="2464"/>
      <c r="M87" s="2464"/>
      <c r="N87" s="2465"/>
      <c r="O87" s="356"/>
      <c r="P87" s="356"/>
      <c r="Q87" s="356"/>
      <c r="R87" s="356"/>
      <c r="S87" s="356"/>
    </row>
    <row r="88" spans="1:19" ht="21" customHeight="1" x14ac:dyDescent="0.25">
      <c r="A88" s="356"/>
      <c r="B88" s="533" t="s">
        <v>57</v>
      </c>
      <c r="C88" s="2467" t="s">
        <v>58</v>
      </c>
      <c r="D88" s="2467"/>
      <c r="E88" s="2467" t="s">
        <v>1</v>
      </c>
      <c r="F88" s="2467"/>
      <c r="G88" s="2376"/>
      <c r="H88" s="2377"/>
      <c r="I88" s="2377"/>
      <c r="J88" s="2377"/>
      <c r="K88" s="2377"/>
      <c r="L88" s="2377"/>
      <c r="M88" s="2377"/>
      <c r="N88" s="2378"/>
      <c r="O88" s="356"/>
      <c r="P88" s="356"/>
      <c r="Q88" s="356"/>
      <c r="R88" s="356"/>
      <c r="S88" s="356"/>
    </row>
    <row r="89" spans="1:19" ht="21" customHeight="1" x14ac:dyDescent="0.25">
      <c r="A89" s="356"/>
      <c r="B89" s="532" t="s">
        <v>61</v>
      </c>
      <c r="C89" s="2467" t="s">
        <v>62</v>
      </c>
      <c r="D89" s="2467"/>
      <c r="E89" s="2467" t="s">
        <v>2</v>
      </c>
      <c r="F89" s="2467"/>
      <c r="G89" s="2463"/>
      <c r="H89" s="2464"/>
      <c r="I89" s="2464"/>
      <c r="J89" s="2464"/>
      <c r="K89" s="2464"/>
      <c r="L89" s="2464"/>
      <c r="M89" s="2464"/>
      <c r="N89" s="2465"/>
      <c r="O89" s="356"/>
      <c r="P89" s="356"/>
      <c r="Q89" s="356"/>
      <c r="R89" s="356"/>
      <c r="S89" s="356"/>
    </row>
    <row r="90" spans="1:19" ht="21" customHeight="1" x14ac:dyDescent="0.25">
      <c r="A90" s="356"/>
      <c r="B90" s="533" t="s">
        <v>65</v>
      </c>
      <c r="C90" s="2467" t="s">
        <v>127</v>
      </c>
      <c r="D90" s="2467"/>
      <c r="E90" s="2467" t="s">
        <v>4</v>
      </c>
      <c r="F90" s="2467"/>
      <c r="G90" s="2376"/>
      <c r="H90" s="2377"/>
      <c r="I90" s="2377"/>
      <c r="J90" s="2377"/>
      <c r="K90" s="2377"/>
      <c r="L90" s="2377"/>
      <c r="M90" s="2377"/>
      <c r="N90" s="2378"/>
      <c r="O90" s="356"/>
      <c r="P90" s="356"/>
      <c r="Q90" s="356"/>
      <c r="R90" s="356"/>
      <c r="S90" s="356"/>
    </row>
    <row r="91" spans="1:19" ht="21" customHeight="1" x14ac:dyDescent="0.25">
      <c r="A91" s="356"/>
      <c r="B91" s="534" t="s">
        <v>69</v>
      </c>
      <c r="C91" s="2467" t="s">
        <v>66</v>
      </c>
      <c r="D91" s="2467"/>
      <c r="E91" s="2467" t="s">
        <v>5</v>
      </c>
      <c r="F91" s="2467"/>
      <c r="G91" s="2463"/>
      <c r="H91" s="2464"/>
      <c r="I91" s="2464"/>
      <c r="J91" s="2464"/>
      <c r="K91" s="2464"/>
      <c r="L91" s="2464"/>
      <c r="M91" s="2464"/>
      <c r="N91" s="2465"/>
      <c r="O91" s="356"/>
      <c r="P91" s="356"/>
      <c r="Q91" s="356"/>
      <c r="R91" s="356"/>
      <c r="S91" s="356"/>
    </row>
    <row r="92" spans="1:19" ht="21" customHeight="1" x14ac:dyDescent="0.25">
      <c r="A92" s="356"/>
      <c r="B92" s="533" t="s">
        <v>73</v>
      </c>
      <c r="C92" s="2485" t="s">
        <v>700</v>
      </c>
      <c r="D92" s="2485"/>
      <c r="E92" s="2485" t="s">
        <v>233</v>
      </c>
      <c r="F92" s="2485"/>
      <c r="G92" s="2376"/>
      <c r="H92" s="2377"/>
      <c r="I92" s="2377"/>
      <c r="J92" s="2377"/>
      <c r="K92" s="2377"/>
      <c r="L92" s="2377"/>
      <c r="M92" s="2377"/>
      <c r="N92" s="2378"/>
      <c r="O92" s="356"/>
      <c r="P92" s="356"/>
      <c r="Q92" s="356"/>
      <c r="R92" s="356"/>
      <c r="S92" s="356"/>
    </row>
    <row r="93" spans="1:19" ht="21" customHeight="1" x14ac:dyDescent="0.25">
      <c r="A93" s="356"/>
      <c r="B93" s="535" t="s">
        <v>77</v>
      </c>
      <c r="C93" s="2482" t="s">
        <v>701</v>
      </c>
      <c r="D93" s="2482"/>
      <c r="E93" s="2482" t="s">
        <v>235</v>
      </c>
      <c r="F93" s="2482"/>
      <c r="G93" s="2463"/>
      <c r="H93" s="2464"/>
      <c r="I93" s="2464"/>
      <c r="J93" s="2464"/>
      <c r="K93" s="2464"/>
      <c r="L93" s="2464"/>
      <c r="M93" s="2464"/>
      <c r="N93" s="2465"/>
      <c r="O93" s="356"/>
      <c r="P93" s="356"/>
      <c r="Q93" s="356"/>
      <c r="R93" s="356"/>
      <c r="S93" s="356"/>
    </row>
    <row r="94" spans="1:19" ht="21" customHeight="1" x14ac:dyDescent="0.25">
      <c r="A94" s="356"/>
      <c r="B94" s="535" t="s">
        <v>126</v>
      </c>
      <c r="C94" s="2482" t="s">
        <v>100</v>
      </c>
      <c r="D94" s="2482"/>
      <c r="E94" s="2482" t="s">
        <v>114</v>
      </c>
      <c r="F94" s="2482"/>
      <c r="G94" s="2376"/>
      <c r="H94" s="2377"/>
      <c r="I94" s="2377"/>
      <c r="J94" s="2377"/>
      <c r="K94" s="2377"/>
      <c r="L94" s="2377"/>
      <c r="M94" s="2377"/>
      <c r="N94" s="2378"/>
      <c r="O94" s="356"/>
      <c r="P94" s="356"/>
      <c r="Q94" s="356"/>
      <c r="R94" s="356"/>
      <c r="S94" s="356"/>
    </row>
    <row r="95" spans="1:19" ht="21" customHeight="1" x14ac:dyDescent="0.25">
      <c r="A95" s="356"/>
      <c r="B95" s="531" t="s">
        <v>155</v>
      </c>
      <c r="C95" s="2479" t="s">
        <v>687</v>
      </c>
      <c r="D95" s="2479"/>
      <c r="E95" s="2479" t="s">
        <v>156</v>
      </c>
      <c r="F95" s="2480"/>
      <c r="G95" s="2464"/>
      <c r="H95" s="2464"/>
      <c r="I95" s="2464"/>
      <c r="J95" s="2464"/>
      <c r="K95" s="2464"/>
      <c r="L95" s="2464"/>
      <c r="M95" s="2464"/>
      <c r="N95" s="2465"/>
      <c r="O95" s="356"/>
      <c r="P95" s="356"/>
      <c r="Q95" s="356"/>
      <c r="R95" s="356"/>
      <c r="S95" s="356"/>
    </row>
    <row r="96" spans="1:19" ht="21" customHeight="1" x14ac:dyDescent="0.25">
      <c r="A96" s="356"/>
      <c r="B96" s="535" t="s">
        <v>698</v>
      </c>
      <c r="C96" s="2482" t="s">
        <v>702</v>
      </c>
      <c r="D96" s="2482"/>
      <c r="E96" s="2482" t="s">
        <v>625</v>
      </c>
      <c r="F96" s="2482"/>
      <c r="G96" s="2376"/>
      <c r="H96" s="2377"/>
      <c r="I96" s="2377"/>
      <c r="J96" s="2377"/>
      <c r="K96" s="2377"/>
      <c r="L96" s="2377"/>
      <c r="M96" s="2377"/>
      <c r="N96" s="2378"/>
      <c r="O96" s="356"/>
      <c r="P96" s="356"/>
      <c r="Q96" s="356"/>
      <c r="R96" s="356"/>
      <c r="S96" s="356"/>
    </row>
    <row r="97" spans="1:19" ht="21" customHeight="1" x14ac:dyDescent="0.25">
      <c r="A97" s="356"/>
      <c r="B97" s="536" t="s">
        <v>139</v>
      </c>
      <c r="C97" s="2481" t="s">
        <v>101</v>
      </c>
      <c r="D97" s="2481"/>
      <c r="E97" s="2481" t="s">
        <v>137</v>
      </c>
      <c r="F97" s="2481"/>
      <c r="G97" s="2463"/>
      <c r="H97" s="2464"/>
      <c r="I97" s="2464"/>
      <c r="J97" s="2464"/>
      <c r="K97" s="2464"/>
      <c r="L97" s="2464"/>
      <c r="M97" s="2464"/>
      <c r="N97" s="2465"/>
      <c r="O97" s="356"/>
      <c r="P97" s="356"/>
      <c r="Q97" s="356"/>
      <c r="R97" s="356"/>
      <c r="S97" s="356"/>
    </row>
    <row r="98" spans="1:19" ht="21" customHeight="1" x14ac:dyDescent="0.25">
      <c r="A98" s="356"/>
      <c r="B98" s="537" t="s">
        <v>140</v>
      </c>
      <c r="C98" s="2467" t="s">
        <v>89</v>
      </c>
      <c r="D98" s="2467"/>
      <c r="E98" s="2467" t="s">
        <v>136</v>
      </c>
      <c r="F98" s="2467"/>
      <c r="G98" s="2376"/>
      <c r="H98" s="2377"/>
      <c r="I98" s="2377"/>
      <c r="J98" s="2377"/>
      <c r="K98" s="2377"/>
      <c r="L98" s="2377"/>
      <c r="M98" s="2377"/>
      <c r="N98" s="2378"/>
      <c r="O98" s="356"/>
      <c r="P98" s="356"/>
      <c r="Q98" s="356"/>
      <c r="R98" s="356"/>
      <c r="S98" s="356"/>
    </row>
    <row r="99" spans="1:19" ht="21" customHeight="1" x14ac:dyDescent="0.25">
      <c r="A99" s="356"/>
      <c r="B99" s="537" t="s">
        <v>141</v>
      </c>
      <c r="C99" s="2467" t="s">
        <v>93</v>
      </c>
      <c r="D99" s="2467"/>
      <c r="E99" s="2467" t="s">
        <v>135</v>
      </c>
      <c r="F99" s="2467"/>
      <c r="G99" s="2463"/>
      <c r="H99" s="2464"/>
      <c r="I99" s="2464"/>
      <c r="J99" s="2464"/>
      <c r="K99" s="2464"/>
      <c r="L99" s="2464"/>
      <c r="M99" s="2464"/>
      <c r="N99" s="2465"/>
      <c r="O99" s="356"/>
      <c r="P99" s="356"/>
      <c r="Q99" s="356"/>
      <c r="R99" s="356"/>
      <c r="S99" s="356"/>
    </row>
    <row r="100" spans="1:19" ht="21" customHeight="1" x14ac:dyDescent="0.25">
      <c r="A100" s="356"/>
      <c r="B100" s="536" t="s">
        <v>699</v>
      </c>
      <c r="C100" s="2467" t="s">
        <v>365</v>
      </c>
      <c r="D100" s="2467"/>
      <c r="E100" s="2467" t="s">
        <v>365</v>
      </c>
      <c r="F100" s="2467"/>
      <c r="G100" s="2376"/>
      <c r="H100" s="2377"/>
      <c r="I100" s="2377"/>
      <c r="J100" s="2377"/>
      <c r="K100" s="2377"/>
      <c r="L100" s="2377"/>
      <c r="M100" s="2377"/>
      <c r="N100" s="2378"/>
      <c r="O100" s="356"/>
      <c r="P100" s="356"/>
      <c r="Q100" s="356"/>
      <c r="R100" s="356"/>
      <c r="S100" s="356"/>
    </row>
    <row r="101" spans="1:19" ht="21" customHeight="1" x14ac:dyDescent="0.25">
      <c r="A101" s="356"/>
      <c r="B101" s="548" t="s">
        <v>102</v>
      </c>
      <c r="C101" s="2484" t="s">
        <v>688</v>
      </c>
      <c r="D101" s="2484"/>
      <c r="E101" s="2484"/>
      <c r="F101" s="2484"/>
      <c r="G101" s="2463"/>
      <c r="H101" s="2464"/>
      <c r="I101" s="2464"/>
      <c r="J101" s="2464"/>
      <c r="K101" s="2464"/>
      <c r="L101" s="2464"/>
      <c r="M101" s="2464"/>
      <c r="N101" s="2465"/>
      <c r="O101" s="356"/>
      <c r="P101" s="356"/>
      <c r="Q101" s="356"/>
      <c r="R101" s="356"/>
      <c r="S101" s="356"/>
    </row>
    <row r="102" spans="1:19" ht="21" customHeight="1" x14ac:dyDescent="0.25">
      <c r="A102" s="356"/>
      <c r="B102" s="549" t="s">
        <v>103</v>
      </c>
      <c r="C102" s="2483" t="s">
        <v>689</v>
      </c>
      <c r="D102" s="2483"/>
      <c r="E102" s="2483"/>
      <c r="F102" s="2483"/>
      <c r="G102" s="2376"/>
      <c r="H102" s="2377"/>
      <c r="I102" s="2377"/>
      <c r="J102" s="2377"/>
      <c r="K102" s="2377"/>
      <c r="L102" s="2377"/>
      <c r="M102" s="2377"/>
      <c r="N102" s="2378"/>
      <c r="O102" s="356"/>
      <c r="P102" s="356"/>
      <c r="Q102" s="356"/>
      <c r="R102" s="356"/>
      <c r="S102" s="356"/>
    </row>
    <row r="103" spans="1:19" ht="15.75" x14ac:dyDescent="0.25">
      <c r="A103" s="356"/>
      <c r="B103" s="354"/>
      <c r="C103" s="356"/>
      <c r="D103" s="356"/>
      <c r="E103" s="356"/>
      <c r="F103" s="356"/>
      <c r="G103" s="356"/>
      <c r="H103" s="356"/>
      <c r="I103" s="356"/>
      <c r="J103" s="356"/>
      <c r="K103" s="356"/>
      <c r="L103" s="356"/>
      <c r="M103" s="356"/>
      <c r="N103" s="356"/>
      <c r="O103" s="356"/>
      <c r="P103" s="356"/>
      <c r="Q103" s="356"/>
      <c r="R103" s="356"/>
      <c r="S103" s="356"/>
    </row>
    <row r="104" spans="1:19" ht="15.75" x14ac:dyDescent="0.25">
      <c r="A104" s="356"/>
      <c r="B104" s="354"/>
      <c r="C104" s="356"/>
      <c r="D104" s="356"/>
      <c r="E104" s="356"/>
      <c r="F104" s="356"/>
      <c r="G104" s="356"/>
      <c r="H104" s="356"/>
      <c r="I104" s="356"/>
      <c r="J104" s="356"/>
      <c r="K104" s="356"/>
      <c r="L104" s="356"/>
      <c r="M104" s="356"/>
      <c r="N104" s="356"/>
      <c r="O104" s="356"/>
      <c r="P104" s="356"/>
      <c r="Q104" s="356"/>
      <c r="R104" s="356"/>
      <c r="S104" s="356"/>
    </row>
    <row r="105" spans="1:19" ht="15.75" hidden="1" x14ac:dyDescent="0.25">
      <c r="B105" s="354"/>
      <c r="C105" s="356"/>
      <c r="D105" s="356"/>
      <c r="E105" s="356"/>
      <c r="F105" s="356"/>
      <c r="G105" s="356"/>
      <c r="H105" s="356"/>
      <c r="I105" s="356"/>
      <c r="J105" s="356"/>
      <c r="K105" s="356"/>
      <c r="L105" s="356"/>
      <c r="M105" s="356"/>
      <c r="N105" s="356"/>
      <c r="O105" s="356"/>
      <c r="P105" s="356"/>
      <c r="Q105" s="356"/>
      <c r="R105" s="356"/>
      <c r="S105" s="356"/>
    </row>
    <row r="106" spans="1:19" ht="15.75" hidden="1" x14ac:dyDescent="0.25">
      <c r="B106" s="354"/>
      <c r="C106" s="356"/>
      <c r="D106" s="356"/>
      <c r="E106" s="356"/>
      <c r="F106" s="356"/>
      <c r="G106" s="356"/>
      <c r="H106" s="356"/>
      <c r="I106" s="356"/>
      <c r="J106" s="356"/>
      <c r="K106" s="356"/>
      <c r="L106" s="356"/>
      <c r="M106" s="356"/>
      <c r="N106" s="356"/>
      <c r="O106" s="356"/>
      <c r="P106" s="356"/>
      <c r="Q106" s="356"/>
      <c r="R106" s="356"/>
      <c r="S106" s="356"/>
    </row>
    <row r="107" spans="1:19" ht="15.75" hidden="1" x14ac:dyDescent="0.25">
      <c r="B107" s="354"/>
      <c r="C107" s="356"/>
      <c r="D107" s="356"/>
      <c r="E107" s="356"/>
      <c r="F107" s="356"/>
      <c r="G107" s="356"/>
      <c r="H107" s="356"/>
      <c r="I107" s="356"/>
      <c r="J107" s="356"/>
      <c r="K107" s="356"/>
      <c r="L107" s="356"/>
      <c r="M107" s="356"/>
      <c r="N107" s="356"/>
      <c r="O107" s="356"/>
      <c r="P107" s="356"/>
      <c r="Q107" s="356"/>
      <c r="R107" s="356"/>
      <c r="S107" s="356"/>
    </row>
    <row r="108" spans="1:19" ht="15.75" hidden="1" x14ac:dyDescent="0.25">
      <c r="B108" s="354"/>
      <c r="C108" s="356"/>
      <c r="D108" s="356"/>
      <c r="E108" s="356"/>
      <c r="F108" s="356"/>
      <c r="G108" s="356"/>
      <c r="H108" s="356"/>
      <c r="I108" s="356"/>
      <c r="J108" s="356"/>
      <c r="K108" s="356"/>
      <c r="L108" s="356"/>
      <c r="M108" s="356"/>
      <c r="N108" s="356"/>
      <c r="O108" s="356"/>
      <c r="P108" s="356"/>
      <c r="Q108" s="356"/>
      <c r="R108" s="356"/>
      <c r="S108" s="356"/>
    </row>
    <row r="109" spans="1:19" ht="15.75" hidden="1" x14ac:dyDescent="0.25">
      <c r="B109" s="354"/>
      <c r="C109" s="356"/>
      <c r="D109" s="356"/>
      <c r="E109" s="356"/>
      <c r="F109" s="356"/>
      <c r="G109" s="356"/>
      <c r="H109" s="356"/>
      <c r="I109" s="356"/>
      <c r="J109" s="356"/>
      <c r="K109" s="356"/>
      <c r="L109" s="356"/>
      <c r="M109" s="356"/>
      <c r="N109" s="356"/>
      <c r="O109" s="356"/>
      <c r="P109" s="356"/>
      <c r="Q109" s="356"/>
      <c r="R109" s="356"/>
      <c r="S109" s="356"/>
    </row>
    <row r="110" spans="1:19" ht="15.75" hidden="1" x14ac:dyDescent="0.25">
      <c r="B110" s="354"/>
      <c r="C110" s="356"/>
      <c r="D110" s="356"/>
      <c r="E110" s="356"/>
      <c r="F110" s="356"/>
      <c r="G110" s="356"/>
      <c r="H110" s="356"/>
      <c r="I110" s="356"/>
      <c r="J110" s="356"/>
      <c r="K110" s="356"/>
      <c r="L110" s="356"/>
      <c r="M110" s="356"/>
      <c r="N110" s="356"/>
      <c r="O110" s="356"/>
      <c r="P110" s="356"/>
      <c r="Q110" s="356"/>
      <c r="R110" s="356"/>
      <c r="S110" s="356"/>
    </row>
    <row r="111" spans="1:19" ht="15.75" hidden="1" x14ac:dyDescent="0.25">
      <c r="B111" s="354"/>
      <c r="C111" s="356"/>
      <c r="D111" s="356"/>
      <c r="E111" s="356"/>
      <c r="F111" s="356"/>
      <c r="G111" s="356"/>
      <c r="H111" s="356"/>
      <c r="I111" s="356"/>
      <c r="J111" s="356"/>
      <c r="K111" s="356"/>
      <c r="L111" s="356"/>
      <c r="M111" s="356"/>
      <c r="N111" s="356"/>
      <c r="O111" s="356"/>
      <c r="P111" s="356"/>
      <c r="Q111" s="356"/>
      <c r="R111" s="356"/>
      <c r="S111" s="356"/>
    </row>
    <row r="112" spans="1:19" ht="15.75" hidden="1" x14ac:dyDescent="0.25">
      <c r="B112" s="354"/>
      <c r="C112" s="356"/>
      <c r="D112" s="356"/>
      <c r="E112" s="356"/>
      <c r="F112" s="356"/>
      <c r="G112" s="356"/>
      <c r="H112" s="356"/>
      <c r="I112" s="356"/>
      <c r="J112" s="356"/>
      <c r="K112" s="356"/>
      <c r="L112" s="356"/>
      <c r="M112" s="356"/>
      <c r="N112" s="356"/>
      <c r="O112" s="356"/>
      <c r="P112" s="356"/>
      <c r="Q112" s="356"/>
      <c r="R112" s="356"/>
      <c r="S112" s="356"/>
    </row>
    <row r="113" spans="2:19" ht="15.75" hidden="1" x14ac:dyDescent="0.25">
      <c r="B113" s="354"/>
      <c r="C113" s="356"/>
      <c r="D113" s="356"/>
      <c r="E113" s="356"/>
      <c r="F113" s="356"/>
      <c r="G113" s="356"/>
      <c r="H113" s="356"/>
      <c r="I113" s="356"/>
      <c r="J113" s="356"/>
      <c r="K113" s="356"/>
      <c r="L113" s="356"/>
      <c r="M113" s="356"/>
      <c r="N113" s="356"/>
      <c r="O113" s="356"/>
      <c r="P113" s="356"/>
      <c r="Q113" s="356"/>
      <c r="R113" s="356"/>
      <c r="S113" s="356"/>
    </row>
    <row r="114" spans="2:19" ht="15.75" hidden="1" x14ac:dyDescent="0.25">
      <c r="B114" s="354"/>
      <c r="C114" s="356"/>
      <c r="D114" s="356"/>
      <c r="E114" s="356"/>
      <c r="F114" s="356"/>
      <c r="G114" s="356"/>
      <c r="H114" s="356"/>
      <c r="I114" s="356"/>
      <c r="J114" s="356"/>
      <c r="K114" s="356"/>
      <c r="L114" s="356"/>
      <c r="M114" s="356"/>
      <c r="N114" s="356"/>
      <c r="O114" s="356"/>
      <c r="P114" s="356"/>
      <c r="Q114" s="356"/>
      <c r="R114" s="356"/>
      <c r="S114" s="356"/>
    </row>
    <row r="115" spans="2:19" ht="15.75" hidden="1" x14ac:dyDescent="0.25">
      <c r="B115" s="354"/>
      <c r="C115" s="356"/>
      <c r="D115" s="356"/>
      <c r="E115" s="356"/>
      <c r="F115" s="356"/>
      <c r="G115" s="356"/>
      <c r="H115" s="356"/>
      <c r="I115" s="356"/>
      <c r="J115" s="356"/>
      <c r="K115" s="356"/>
      <c r="L115" s="356"/>
      <c r="M115" s="356"/>
      <c r="N115" s="356"/>
      <c r="O115" s="356"/>
      <c r="P115" s="356"/>
      <c r="Q115" s="356"/>
      <c r="R115" s="356"/>
      <c r="S115" s="356"/>
    </row>
    <row r="116" spans="2:19" ht="15.75" hidden="1" x14ac:dyDescent="0.25">
      <c r="B116" s="354"/>
      <c r="C116" s="356"/>
      <c r="D116" s="356"/>
      <c r="E116" s="356"/>
      <c r="F116" s="356"/>
      <c r="G116" s="356"/>
      <c r="H116" s="356"/>
      <c r="I116" s="356"/>
      <c r="J116" s="356"/>
      <c r="K116" s="356"/>
      <c r="L116" s="356"/>
      <c r="M116" s="356"/>
      <c r="N116" s="356"/>
      <c r="O116" s="356"/>
      <c r="P116" s="356"/>
      <c r="Q116" s="356"/>
      <c r="R116" s="356"/>
      <c r="S116" s="356"/>
    </row>
    <row r="117" spans="2:19" ht="15.75" hidden="1" x14ac:dyDescent="0.25">
      <c r="B117" s="354"/>
      <c r="C117" s="356"/>
      <c r="D117" s="356"/>
      <c r="E117" s="356"/>
      <c r="F117" s="356"/>
      <c r="G117" s="356"/>
      <c r="H117" s="356"/>
      <c r="I117" s="356"/>
      <c r="J117" s="356"/>
      <c r="K117" s="356"/>
      <c r="L117" s="356"/>
      <c r="M117" s="356"/>
      <c r="N117" s="356"/>
      <c r="O117" s="356"/>
      <c r="P117" s="356"/>
      <c r="Q117" s="356"/>
      <c r="R117" s="356"/>
      <c r="S117" s="356"/>
    </row>
    <row r="118" spans="2:19" ht="15.75" hidden="1" x14ac:dyDescent="0.25">
      <c r="B118" s="354"/>
      <c r="C118" s="356"/>
      <c r="D118" s="356"/>
      <c r="E118" s="356"/>
      <c r="F118" s="356"/>
      <c r="G118" s="356"/>
      <c r="H118" s="356"/>
      <c r="I118" s="356"/>
      <c r="J118" s="356"/>
      <c r="K118" s="356"/>
      <c r="L118" s="356"/>
      <c r="M118" s="356"/>
      <c r="N118" s="356"/>
      <c r="O118" s="356"/>
      <c r="P118" s="356"/>
      <c r="Q118" s="356"/>
      <c r="R118" s="356"/>
      <c r="S118" s="356"/>
    </row>
    <row r="119" spans="2:19" ht="15.75" hidden="1" x14ac:dyDescent="0.25">
      <c r="B119" s="354"/>
      <c r="C119" s="356"/>
      <c r="D119" s="356"/>
      <c r="E119" s="356"/>
      <c r="F119" s="356"/>
      <c r="G119" s="356"/>
      <c r="H119" s="356"/>
      <c r="I119" s="356"/>
      <c r="J119" s="356"/>
      <c r="K119" s="356"/>
      <c r="L119" s="356"/>
      <c r="M119" s="356"/>
      <c r="N119" s="356"/>
      <c r="O119" s="356"/>
      <c r="P119" s="356"/>
      <c r="Q119" s="356"/>
      <c r="R119" s="356"/>
      <c r="S119" s="356"/>
    </row>
    <row r="120" spans="2:19" ht="15.75" hidden="1" x14ac:dyDescent="0.25">
      <c r="B120" s="354"/>
      <c r="C120" s="356"/>
      <c r="D120" s="356"/>
      <c r="E120" s="356"/>
      <c r="F120" s="356"/>
      <c r="G120" s="356"/>
      <c r="H120" s="356"/>
      <c r="I120" s="356"/>
      <c r="J120" s="356"/>
      <c r="K120" s="356"/>
      <c r="L120" s="356"/>
      <c r="M120" s="356"/>
      <c r="N120" s="356"/>
      <c r="O120" s="356"/>
      <c r="P120" s="356"/>
      <c r="Q120" s="356"/>
      <c r="R120" s="356"/>
      <c r="S120" s="356"/>
    </row>
    <row r="121" spans="2:19" ht="15.75" hidden="1" x14ac:dyDescent="0.25">
      <c r="B121" s="354"/>
      <c r="C121" s="356"/>
      <c r="D121" s="356"/>
      <c r="E121" s="356"/>
      <c r="F121" s="356"/>
      <c r="G121" s="356"/>
      <c r="H121" s="356"/>
      <c r="I121" s="356"/>
      <c r="J121" s="356"/>
      <c r="K121" s="356"/>
      <c r="L121" s="356"/>
      <c r="M121" s="356"/>
      <c r="N121" s="356"/>
      <c r="O121" s="356"/>
      <c r="P121" s="356"/>
      <c r="Q121" s="356"/>
      <c r="R121" s="356"/>
      <c r="S121" s="356"/>
    </row>
    <row r="122" spans="2:19" ht="15.75" hidden="1" x14ac:dyDescent="0.25">
      <c r="B122" s="354"/>
      <c r="C122" s="356"/>
      <c r="D122" s="356"/>
      <c r="E122" s="356"/>
      <c r="F122" s="356"/>
      <c r="G122" s="356"/>
      <c r="H122" s="356"/>
      <c r="I122" s="356"/>
      <c r="J122" s="356"/>
      <c r="K122" s="356"/>
      <c r="L122" s="356"/>
      <c r="M122" s="356"/>
      <c r="N122" s="356"/>
      <c r="O122" s="356"/>
      <c r="P122" s="356"/>
      <c r="Q122" s="356"/>
      <c r="R122" s="356"/>
      <c r="S122" s="356"/>
    </row>
    <row r="123" spans="2:19" ht="15.75" hidden="1" x14ac:dyDescent="0.25">
      <c r="B123" s="354"/>
      <c r="C123" s="356"/>
      <c r="D123" s="356"/>
      <c r="E123" s="356"/>
      <c r="F123" s="356"/>
      <c r="G123" s="356"/>
      <c r="H123" s="356"/>
      <c r="I123" s="356"/>
      <c r="J123" s="356"/>
      <c r="K123" s="356"/>
      <c r="L123" s="356"/>
      <c r="M123" s="356"/>
      <c r="N123" s="356"/>
      <c r="O123" s="356"/>
      <c r="P123" s="356"/>
      <c r="Q123" s="356"/>
      <c r="R123" s="356"/>
      <c r="S123" s="356"/>
    </row>
    <row r="124" spans="2:19" ht="15.75" hidden="1" x14ac:dyDescent="0.25">
      <c r="B124" s="354"/>
      <c r="C124" s="356"/>
      <c r="D124" s="356"/>
      <c r="E124" s="356"/>
      <c r="F124" s="356"/>
      <c r="G124" s="356"/>
      <c r="H124" s="356"/>
      <c r="I124" s="356"/>
      <c r="J124" s="356"/>
      <c r="K124" s="356"/>
      <c r="L124" s="356"/>
      <c r="M124" s="356"/>
      <c r="N124" s="356"/>
      <c r="O124" s="356"/>
      <c r="P124" s="356"/>
      <c r="Q124" s="356"/>
      <c r="R124" s="356"/>
      <c r="S124" s="356"/>
    </row>
    <row r="125" spans="2:19" ht="15.75" hidden="1" x14ac:dyDescent="0.25">
      <c r="B125" s="354"/>
      <c r="C125" s="356"/>
      <c r="D125" s="356"/>
      <c r="E125" s="356"/>
      <c r="F125" s="356"/>
      <c r="G125" s="356"/>
      <c r="H125" s="356"/>
      <c r="I125" s="356"/>
      <c r="J125" s="356"/>
      <c r="K125" s="356"/>
      <c r="L125" s="356"/>
      <c r="M125" s="356"/>
      <c r="N125" s="356"/>
      <c r="O125" s="356"/>
      <c r="P125" s="356"/>
      <c r="Q125" s="356"/>
      <c r="R125" s="356"/>
      <c r="S125" s="356"/>
    </row>
    <row r="126" spans="2:19" ht="15.75" hidden="1" x14ac:dyDescent="0.25">
      <c r="B126" s="354"/>
      <c r="C126" s="356"/>
      <c r="D126" s="356"/>
      <c r="E126" s="356"/>
      <c r="F126" s="356"/>
      <c r="G126" s="356"/>
      <c r="H126" s="356"/>
      <c r="I126" s="356"/>
      <c r="J126" s="356"/>
      <c r="K126" s="356"/>
      <c r="L126" s="356"/>
      <c r="M126" s="356"/>
      <c r="N126" s="356"/>
      <c r="O126" s="356"/>
      <c r="P126" s="356"/>
      <c r="Q126" s="356"/>
      <c r="R126" s="356"/>
      <c r="S126" s="356"/>
    </row>
    <row r="127" spans="2:19" ht="15.75" hidden="1" x14ac:dyDescent="0.25">
      <c r="B127" s="354"/>
      <c r="C127" s="356"/>
      <c r="D127" s="356"/>
      <c r="E127" s="356"/>
      <c r="F127" s="356"/>
      <c r="G127" s="356"/>
      <c r="H127" s="356"/>
      <c r="I127" s="356"/>
      <c r="J127" s="356"/>
      <c r="K127" s="356"/>
      <c r="L127" s="356"/>
      <c r="M127" s="356"/>
      <c r="N127" s="356"/>
      <c r="O127" s="356"/>
      <c r="P127" s="356"/>
      <c r="Q127" s="356"/>
      <c r="R127" s="356"/>
      <c r="S127" s="356"/>
    </row>
    <row r="128" spans="2:19" ht="15.75" hidden="1" x14ac:dyDescent="0.25">
      <c r="B128" s="354"/>
      <c r="C128" s="356"/>
      <c r="D128" s="356"/>
      <c r="E128" s="356"/>
      <c r="F128" s="356"/>
      <c r="G128" s="356"/>
      <c r="H128" s="356"/>
      <c r="I128" s="356"/>
      <c r="J128" s="356"/>
      <c r="K128" s="356"/>
      <c r="L128" s="356"/>
      <c r="M128" s="356"/>
      <c r="N128" s="356"/>
      <c r="O128" s="356"/>
      <c r="P128" s="356"/>
      <c r="Q128" s="356"/>
      <c r="R128" s="356"/>
      <c r="S128" s="356"/>
    </row>
    <row r="129" spans="2:19" ht="15.75" hidden="1" x14ac:dyDescent="0.25">
      <c r="B129" s="354"/>
      <c r="C129" s="356"/>
      <c r="D129" s="356"/>
      <c r="E129" s="356"/>
      <c r="F129" s="356"/>
      <c r="G129" s="356"/>
      <c r="H129" s="356"/>
      <c r="I129" s="356"/>
      <c r="J129" s="356"/>
      <c r="K129" s="356"/>
      <c r="L129" s="356"/>
      <c r="M129" s="356"/>
      <c r="N129" s="356"/>
      <c r="O129" s="356"/>
      <c r="P129" s="356"/>
      <c r="Q129" s="356"/>
      <c r="R129" s="356"/>
      <c r="S129" s="356"/>
    </row>
    <row r="130" spans="2:19" ht="15.75" hidden="1" x14ac:dyDescent="0.25">
      <c r="B130" s="354"/>
      <c r="C130" s="356"/>
      <c r="D130" s="356"/>
      <c r="E130" s="356"/>
      <c r="F130" s="356"/>
      <c r="G130" s="356"/>
      <c r="H130" s="356"/>
      <c r="I130" s="356"/>
      <c r="J130" s="356"/>
      <c r="K130" s="356"/>
      <c r="L130" s="356"/>
      <c r="M130" s="356"/>
      <c r="N130" s="356"/>
      <c r="O130" s="356"/>
      <c r="P130" s="356"/>
      <c r="Q130" s="356"/>
      <c r="R130" s="356"/>
      <c r="S130" s="356"/>
    </row>
    <row r="131" spans="2:19" ht="15.75" hidden="1" x14ac:dyDescent="0.25">
      <c r="B131" s="354"/>
      <c r="C131" s="356"/>
      <c r="D131" s="356"/>
      <c r="E131" s="356"/>
      <c r="F131" s="356"/>
      <c r="G131" s="356"/>
      <c r="H131" s="356"/>
      <c r="I131" s="356"/>
      <c r="J131" s="356"/>
      <c r="K131" s="356"/>
      <c r="L131" s="356"/>
      <c r="M131" s="356"/>
      <c r="N131" s="356"/>
      <c r="O131" s="356"/>
      <c r="P131" s="356"/>
      <c r="Q131" s="356"/>
      <c r="R131" s="356"/>
      <c r="S131" s="356"/>
    </row>
    <row r="132" spans="2:19" ht="15.75" hidden="1" x14ac:dyDescent="0.25">
      <c r="B132" s="354"/>
      <c r="C132" s="356"/>
      <c r="D132" s="356"/>
      <c r="E132" s="356"/>
      <c r="F132" s="356"/>
      <c r="G132" s="356"/>
      <c r="H132" s="356"/>
      <c r="I132" s="356"/>
      <c r="J132" s="356"/>
      <c r="K132" s="356"/>
      <c r="L132" s="356"/>
      <c r="M132" s="356"/>
      <c r="N132" s="356"/>
      <c r="O132" s="356"/>
      <c r="P132" s="356"/>
      <c r="Q132" s="356"/>
      <c r="R132" s="356"/>
      <c r="S132" s="356"/>
    </row>
    <row r="133" spans="2:19" ht="15.75" hidden="1" x14ac:dyDescent="0.25">
      <c r="B133" s="354"/>
      <c r="C133" s="356"/>
      <c r="D133" s="356"/>
      <c r="E133" s="356"/>
      <c r="F133" s="356"/>
      <c r="G133" s="356"/>
      <c r="H133" s="356"/>
      <c r="I133" s="356"/>
      <c r="J133" s="356"/>
      <c r="K133" s="356"/>
      <c r="L133" s="356"/>
      <c r="M133" s="356"/>
      <c r="N133" s="356"/>
      <c r="O133" s="356"/>
      <c r="P133" s="356"/>
      <c r="Q133" s="356"/>
      <c r="R133" s="356"/>
      <c r="S133" s="356"/>
    </row>
    <row r="134" spans="2:19" ht="15.75" hidden="1" x14ac:dyDescent="0.25">
      <c r="B134" s="354"/>
      <c r="C134" s="356"/>
      <c r="D134" s="356"/>
      <c r="E134" s="356"/>
      <c r="F134" s="356"/>
      <c r="G134" s="356"/>
      <c r="H134" s="356"/>
      <c r="I134" s="356"/>
      <c r="J134" s="356"/>
      <c r="K134" s="356"/>
      <c r="L134" s="356"/>
      <c r="M134" s="356"/>
      <c r="N134" s="356"/>
      <c r="O134" s="356"/>
      <c r="P134" s="356"/>
      <c r="Q134" s="356"/>
      <c r="R134" s="356"/>
      <c r="S134" s="356"/>
    </row>
    <row r="135" spans="2:19" ht="15.75" hidden="1" x14ac:dyDescent="0.25">
      <c r="B135" s="354"/>
      <c r="C135" s="356"/>
      <c r="D135" s="356"/>
      <c r="E135" s="356"/>
      <c r="F135" s="356"/>
      <c r="G135" s="356"/>
      <c r="H135" s="356"/>
      <c r="I135" s="356"/>
      <c r="J135" s="356"/>
      <c r="K135" s="356"/>
      <c r="L135" s="356"/>
      <c r="M135" s="356"/>
      <c r="N135" s="356"/>
      <c r="O135" s="356"/>
      <c r="P135" s="356"/>
      <c r="Q135" s="356"/>
      <c r="R135" s="356"/>
      <c r="S135" s="356"/>
    </row>
    <row r="136" spans="2:19" ht="15.75" hidden="1" x14ac:dyDescent="0.25">
      <c r="B136" s="354"/>
      <c r="C136" s="356"/>
      <c r="D136" s="356"/>
      <c r="E136" s="356"/>
      <c r="F136" s="356"/>
      <c r="G136" s="356"/>
      <c r="H136" s="356"/>
      <c r="I136" s="356"/>
      <c r="J136" s="356"/>
      <c r="K136" s="356"/>
      <c r="L136" s="356"/>
      <c r="M136" s="356"/>
      <c r="N136" s="356"/>
      <c r="O136" s="356"/>
      <c r="P136" s="356"/>
      <c r="Q136" s="356"/>
      <c r="R136" s="356"/>
      <c r="S136" s="356"/>
    </row>
    <row r="137" spans="2:19" ht="15.75" hidden="1" x14ac:dyDescent="0.25">
      <c r="B137" s="354"/>
      <c r="C137" s="356"/>
      <c r="D137" s="356"/>
      <c r="E137" s="356"/>
      <c r="F137" s="356"/>
      <c r="G137" s="356"/>
      <c r="H137" s="356"/>
      <c r="I137" s="356"/>
      <c r="J137" s="356"/>
      <c r="K137" s="356"/>
      <c r="L137" s="356"/>
      <c r="M137" s="356"/>
      <c r="N137" s="356"/>
      <c r="O137" s="356"/>
      <c r="P137" s="356"/>
      <c r="Q137" s="356"/>
      <c r="R137" s="356"/>
      <c r="S137" s="356"/>
    </row>
    <row r="138" spans="2:19" ht="15.75" hidden="1" x14ac:dyDescent="0.25">
      <c r="B138" s="354"/>
      <c r="C138" s="356"/>
      <c r="D138" s="356"/>
      <c r="E138" s="356"/>
      <c r="F138" s="356"/>
      <c r="G138" s="356"/>
      <c r="H138" s="356"/>
      <c r="I138" s="356"/>
      <c r="J138" s="356"/>
      <c r="K138" s="356"/>
      <c r="L138" s="356"/>
      <c r="M138" s="356"/>
      <c r="N138" s="356"/>
      <c r="O138" s="356"/>
      <c r="P138" s="356"/>
      <c r="Q138" s="356"/>
      <c r="R138" s="356"/>
      <c r="S138" s="356"/>
    </row>
    <row r="139" spans="2:19" ht="15.75" hidden="1" x14ac:dyDescent="0.25">
      <c r="B139" s="354"/>
      <c r="C139" s="356"/>
      <c r="D139" s="356"/>
      <c r="E139" s="356"/>
      <c r="F139" s="356"/>
      <c r="G139" s="356"/>
      <c r="H139" s="356"/>
      <c r="I139" s="356"/>
      <c r="J139" s="356"/>
      <c r="K139" s="356"/>
      <c r="L139" s="356"/>
      <c r="M139" s="356"/>
      <c r="N139" s="356"/>
      <c r="O139" s="356"/>
      <c r="P139" s="356"/>
      <c r="Q139" s="356"/>
      <c r="R139" s="356"/>
      <c r="S139" s="356"/>
    </row>
    <row r="140" spans="2:19" ht="15.75" hidden="1" x14ac:dyDescent="0.25">
      <c r="B140" s="354"/>
      <c r="C140" s="356"/>
      <c r="D140" s="356"/>
      <c r="E140" s="356"/>
      <c r="F140" s="356"/>
      <c r="G140" s="356"/>
      <c r="H140" s="356"/>
      <c r="I140" s="356"/>
      <c r="J140" s="356"/>
      <c r="K140" s="356"/>
      <c r="L140" s="356"/>
      <c r="M140" s="356"/>
      <c r="N140" s="356"/>
      <c r="O140" s="356"/>
      <c r="P140" s="356"/>
      <c r="Q140" s="356"/>
      <c r="R140" s="356"/>
      <c r="S140" s="356"/>
    </row>
    <row r="141" spans="2:19" ht="15.75" hidden="1" x14ac:dyDescent="0.25">
      <c r="B141" s="354"/>
      <c r="C141" s="356"/>
      <c r="D141" s="356"/>
      <c r="E141" s="356"/>
      <c r="F141" s="356"/>
      <c r="G141" s="356"/>
      <c r="H141" s="356"/>
      <c r="I141" s="356"/>
      <c r="J141" s="356"/>
      <c r="K141" s="356"/>
      <c r="L141" s="356"/>
      <c r="M141" s="356"/>
      <c r="N141" s="356"/>
      <c r="O141" s="356"/>
      <c r="P141" s="356"/>
      <c r="Q141" s="356"/>
      <c r="R141" s="356"/>
      <c r="S141" s="356"/>
    </row>
    <row r="142" spans="2:19" ht="15.75" hidden="1" x14ac:dyDescent="0.25">
      <c r="B142" s="354"/>
      <c r="C142" s="356"/>
      <c r="D142" s="356"/>
      <c r="E142" s="356"/>
      <c r="F142" s="356"/>
      <c r="G142" s="356"/>
      <c r="H142" s="356"/>
      <c r="I142" s="356"/>
      <c r="J142" s="356"/>
      <c r="K142" s="356"/>
      <c r="L142" s="356"/>
      <c r="M142" s="356"/>
      <c r="N142" s="356"/>
      <c r="O142" s="356"/>
      <c r="P142" s="356"/>
      <c r="Q142" s="356"/>
      <c r="R142" s="356"/>
      <c r="S142" s="356"/>
    </row>
    <row r="143" spans="2:19" ht="15.75" hidden="1" x14ac:dyDescent="0.25">
      <c r="B143" s="354"/>
      <c r="C143" s="356"/>
      <c r="D143" s="356"/>
      <c r="E143" s="356"/>
      <c r="F143" s="356"/>
      <c r="G143" s="356"/>
      <c r="H143" s="356"/>
      <c r="I143" s="356"/>
      <c r="J143" s="356"/>
      <c r="K143" s="356"/>
      <c r="L143" s="356"/>
      <c r="M143" s="356"/>
      <c r="N143" s="356"/>
      <c r="O143" s="356"/>
      <c r="P143" s="356"/>
      <c r="Q143" s="356"/>
      <c r="R143" s="356"/>
      <c r="S143" s="356"/>
    </row>
    <row r="144" spans="2:19" ht="15.75" hidden="1" x14ac:dyDescent="0.25">
      <c r="B144" s="354"/>
      <c r="C144" s="356"/>
      <c r="D144" s="356"/>
      <c r="E144" s="356"/>
      <c r="F144" s="356"/>
      <c r="G144" s="356"/>
      <c r="H144" s="356"/>
      <c r="I144" s="356"/>
      <c r="J144" s="356"/>
      <c r="K144" s="356"/>
      <c r="L144" s="356"/>
      <c r="M144" s="356"/>
      <c r="N144" s="356"/>
      <c r="O144" s="356"/>
      <c r="P144" s="356"/>
      <c r="Q144" s="356"/>
      <c r="R144" s="356"/>
      <c r="S144" s="356"/>
    </row>
    <row r="145" spans="2:19" ht="15.75" hidden="1" x14ac:dyDescent="0.25">
      <c r="B145" s="354"/>
      <c r="C145" s="356"/>
      <c r="D145" s="356"/>
      <c r="E145" s="356"/>
      <c r="F145" s="356"/>
      <c r="G145" s="356"/>
      <c r="H145" s="356"/>
      <c r="I145" s="356"/>
      <c r="J145" s="356"/>
      <c r="K145" s="356"/>
      <c r="L145" s="356"/>
      <c r="M145" s="356"/>
      <c r="N145" s="356"/>
      <c r="O145" s="356"/>
      <c r="P145" s="356"/>
      <c r="Q145" s="356"/>
      <c r="R145" s="356"/>
      <c r="S145" s="356"/>
    </row>
    <row r="146" spans="2:19" ht="15.75" hidden="1" x14ac:dyDescent="0.25">
      <c r="B146" s="354"/>
      <c r="C146" s="356"/>
      <c r="D146" s="356"/>
      <c r="E146" s="356"/>
      <c r="F146" s="356"/>
      <c r="G146" s="356"/>
      <c r="H146" s="356"/>
      <c r="I146" s="356"/>
      <c r="J146" s="356"/>
      <c r="K146" s="356"/>
      <c r="L146" s="356"/>
      <c r="M146" s="356"/>
      <c r="N146" s="356"/>
      <c r="O146" s="356"/>
      <c r="P146" s="356"/>
      <c r="Q146" s="356"/>
      <c r="R146" s="356"/>
      <c r="S146" s="356"/>
    </row>
    <row r="147" spans="2:19" ht="15.75" hidden="1" x14ac:dyDescent="0.25">
      <c r="B147" s="354"/>
      <c r="C147" s="356"/>
      <c r="D147" s="356"/>
      <c r="E147" s="356"/>
      <c r="F147" s="356"/>
      <c r="G147" s="356"/>
      <c r="H147" s="356"/>
      <c r="I147" s="356"/>
      <c r="J147" s="356"/>
      <c r="K147" s="356"/>
      <c r="L147" s="356"/>
      <c r="M147" s="356"/>
      <c r="N147" s="356"/>
      <c r="O147" s="356"/>
      <c r="P147" s="356"/>
      <c r="Q147" s="356"/>
      <c r="R147" s="356"/>
      <c r="S147" s="356"/>
    </row>
    <row r="148" spans="2:19" ht="15.75" hidden="1" x14ac:dyDescent="0.25">
      <c r="B148" s="354"/>
      <c r="C148" s="356"/>
      <c r="D148" s="356"/>
      <c r="E148" s="356"/>
      <c r="F148" s="356"/>
      <c r="G148" s="356"/>
      <c r="H148" s="356"/>
      <c r="I148" s="356"/>
      <c r="J148" s="356"/>
      <c r="K148" s="356"/>
      <c r="L148" s="356"/>
      <c r="M148" s="356"/>
      <c r="N148" s="356"/>
      <c r="O148" s="356"/>
      <c r="P148" s="356"/>
      <c r="Q148" s="356"/>
      <c r="R148" s="356"/>
      <c r="S148" s="356"/>
    </row>
    <row r="149" spans="2:19" ht="15.75" hidden="1" x14ac:dyDescent="0.25">
      <c r="B149" s="354"/>
      <c r="C149" s="356"/>
      <c r="D149" s="356"/>
      <c r="E149" s="356"/>
      <c r="F149" s="356"/>
      <c r="G149" s="356"/>
      <c r="H149" s="356"/>
      <c r="I149" s="356"/>
      <c r="J149" s="356"/>
      <c r="K149" s="356"/>
      <c r="L149" s="356"/>
      <c r="M149" s="356"/>
      <c r="N149" s="356"/>
      <c r="O149" s="356"/>
      <c r="P149" s="356"/>
      <c r="Q149" s="356"/>
      <c r="R149" s="356"/>
      <c r="S149" s="356"/>
    </row>
    <row r="150" spans="2:19" ht="15.75" hidden="1" x14ac:dyDescent="0.25">
      <c r="B150" s="354"/>
      <c r="C150" s="356"/>
      <c r="D150" s="356"/>
      <c r="E150" s="356"/>
      <c r="F150" s="356"/>
      <c r="G150" s="356"/>
      <c r="H150" s="356"/>
      <c r="I150" s="356"/>
      <c r="J150" s="356"/>
      <c r="K150" s="356"/>
      <c r="L150" s="356"/>
      <c r="M150" s="356"/>
      <c r="N150" s="356"/>
      <c r="O150" s="356"/>
      <c r="P150" s="356"/>
      <c r="Q150" s="356"/>
      <c r="R150" s="356"/>
      <c r="S150" s="356"/>
    </row>
    <row r="151" spans="2:19" ht="15.75" hidden="1" x14ac:dyDescent="0.25">
      <c r="B151" s="354"/>
      <c r="C151" s="356"/>
      <c r="D151" s="356"/>
      <c r="E151" s="356"/>
      <c r="F151" s="356"/>
      <c r="G151" s="356"/>
      <c r="H151" s="356"/>
      <c r="I151" s="356"/>
      <c r="J151" s="356"/>
      <c r="K151" s="356"/>
      <c r="L151" s="356"/>
      <c r="M151" s="356"/>
      <c r="N151" s="356"/>
      <c r="O151" s="356"/>
      <c r="P151" s="356"/>
      <c r="Q151" s="356"/>
      <c r="R151" s="356"/>
      <c r="S151" s="356"/>
    </row>
    <row r="152" spans="2:19" ht="15.75" hidden="1" x14ac:dyDescent="0.25">
      <c r="B152" s="354"/>
      <c r="C152" s="356"/>
      <c r="D152" s="356"/>
      <c r="E152" s="356"/>
      <c r="F152" s="356"/>
      <c r="G152" s="356"/>
      <c r="H152" s="356"/>
      <c r="I152" s="356"/>
      <c r="J152" s="356"/>
      <c r="K152" s="356"/>
      <c r="L152" s="356"/>
      <c r="M152" s="356"/>
      <c r="N152" s="356"/>
      <c r="O152" s="356"/>
      <c r="P152" s="356"/>
      <c r="Q152" s="356"/>
      <c r="R152" s="356"/>
      <c r="S152" s="356"/>
    </row>
    <row r="153" spans="2:19" ht="15.75" hidden="1" x14ac:dyDescent="0.25">
      <c r="B153" s="354"/>
      <c r="C153" s="356"/>
      <c r="D153" s="356"/>
      <c r="E153" s="356"/>
      <c r="F153" s="356"/>
      <c r="G153" s="356"/>
      <c r="H153" s="356"/>
      <c r="I153" s="356"/>
      <c r="J153" s="356"/>
      <c r="K153" s="356"/>
      <c r="L153" s="356"/>
      <c r="M153" s="356"/>
      <c r="N153" s="356"/>
      <c r="O153" s="356"/>
      <c r="P153" s="356"/>
      <c r="Q153" s="356"/>
      <c r="R153" s="356"/>
      <c r="S153" s="356"/>
    </row>
    <row r="154" spans="2:19" ht="15.75" hidden="1" x14ac:dyDescent="0.25">
      <c r="B154" s="354"/>
      <c r="C154" s="356"/>
      <c r="D154" s="356"/>
      <c r="E154" s="356"/>
      <c r="F154" s="356"/>
      <c r="G154" s="356"/>
      <c r="H154" s="356"/>
      <c r="I154" s="356"/>
      <c r="J154" s="356"/>
      <c r="K154" s="356"/>
      <c r="L154" s="356"/>
      <c r="M154" s="356"/>
      <c r="N154" s="356"/>
      <c r="O154" s="356"/>
      <c r="P154" s="356"/>
      <c r="Q154" s="356"/>
      <c r="R154" s="356"/>
      <c r="S154" s="356"/>
    </row>
    <row r="155" spans="2:19" ht="15.75" hidden="1" x14ac:dyDescent="0.25">
      <c r="B155" s="354"/>
      <c r="C155" s="356"/>
      <c r="D155" s="356"/>
      <c r="E155" s="356"/>
      <c r="F155" s="356"/>
      <c r="G155" s="356"/>
      <c r="H155" s="356"/>
      <c r="I155" s="356"/>
      <c r="J155" s="356"/>
      <c r="K155" s="356"/>
      <c r="L155" s="356"/>
      <c r="M155" s="356"/>
      <c r="N155" s="356"/>
      <c r="O155" s="356"/>
      <c r="P155" s="356"/>
      <c r="Q155" s="356"/>
      <c r="R155" s="356"/>
      <c r="S155" s="356"/>
    </row>
    <row r="156" spans="2:19" ht="15.75" hidden="1" x14ac:dyDescent="0.25">
      <c r="B156" s="354"/>
      <c r="C156" s="356"/>
      <c r="D156" s="356"/>
      <c r="E156" s="356"/>
      <c r="F156" s="356"/>
      <c r="G156" s="356"/>
      <c r="H156" s="356"/>
      <c r="I156" s="356"/>
      <c r="J156" s="356"/>
      <c r="K156" s="356"/>
      <c r="L156" s="356"/>
      <c r="M156" s="356"/>
      <c r="N156" s="356"/>
      <c r="O156" s="356"/>
      <c r="P156" s="356"/>
      <c r="Q156" s="356"/>
      <c r="R156" s="356"/>
      <c r="S156" s="356"/>
    </row>
    <row r="157" spans="2:19" ht="15.75" hidden="1" x14ac:dyDescent="0.25">
      <c r="B157" s="354"/>
      <c r="C157" s="356"/>
      <c r="D157" s="356"/>
      <c r="E157" s="356"/>
      <c r="F157" s="356"/>
      <c r="G157" s="356"/>
      <c r="H157" s="356"/>
      <c r="I157" s="356"/>
      <c r="J157" s="356"/>
      <c r="K157" s="356"/>
      <c r="L157" s="356"/>
      <c r="M157" s="356"/>
      <c r="N157" s="356"/>
      <c r="O157" s="356"/>
      <c r="P157" s="356"/>
      <c r="Q157" s="356"/>
      <c r="R157" s="356"/>
      <c r="S157" s="356"/>
    </row>
    <row r="158" spans="2:19" ht="15.75" hidden="1" x14ac:dyDescent="0.25">
      <c r="B158" s="354"/>
      <c r="C158" s="356"/>
      <c r="D158" s="356"/>
      <c r="E158" s="356"/>
      <c r="F158" s="356"/>
      <c r="G158" s="356"/>
      <c r="H158" s="356"/>
      <c r="I158" s="356"/>
      <c r="J158" s="356"/>
      <c r="K158" s="356"/>
      <c r="L158" s="356"/>
      <c r="M158" s="356"/>
      <c r="N158" s="356"/>
      <c r="O158" s="356"/>
      <c r="P158" s="356"/>
      <c r="Q158" s="356"/>
      <c r="R158" s="356"/>
      <c r="S158" s="356"/>
    </row>
    <row r="159" spans="2:19" ht="15.75" hidden="1" x14ac:dyDescent="0.25">
      <c r="B159" s="354"/>
      <c r="C159" s="356"/>
      <c r="D159" s="356"/>
      <c r="E159" s="356"/>
      <c r="F159" s="356"/>
      <c r="G159" s="356"/>
      <c r="H159" s="356"/>
      <c r="I159" s="356"/>
      <c r="J159" s="356"/>
      <c r="K159" s="356"/>
      <c r="L159" s="356"/>
      <c r="M159" s="356"/>
      <c r="N159" s="356"/>
      <c r="O159" s="356"/>
      <c r="P159" s="356"/>
      <c r="Q159" s="356"/>
      <c r="R159" s="356"/>
      <c r="S159" s="356"/>
    </row>
    <row r="160" spans="2:19" ht="15.75" hidden="1" x14ac:dyDescent="0.25">
      <c r="B160" s="354"/>
      <c r="C160" s="356"/>
      <c r="D160" s="356"/>
      <c r="E160" s="356"/>
      <c r="F160" s="356"/>
      <c r="G160" s="356"/>
      <c r="H160" s="356"/>
      <c r="I160" s="356"/>
      <c r="J160" s="356"/>
      <c r="K160" s="356"/>
      <c r="L160" s="356"/>
      <c r="M160" s="356"/>
      <c r="N160" s="356"/>
      <c r="O160" s="356"/>
      <c r="P160" s="356"/>
      <c r="Q160" s="356"/>
      <c r="R160" s="356"/>
      <c r="S160" s="356"/>
    </row>
    <row r="161" spans="2:19" ht="15.75" hidden="1" x14ac:dyDescent="0.25">
      <c r="B161" s="354"/>
      <c r="C161" s="356"/>
      <c r="D161" s="356"/>
      <c r="E161" s="356"/>
      <c r="F161" s="356"/>
      <c r="G161" s="356"/>
      <c r="H161" s="356"/>
      <c r="I161" s="356"/>
      <c r="J161" s="356"/>
      <c r="K161" s="356"/>
      <c r="L161" s="356"/>
      <c r="M161" s="356"/>
      <c r="N161" s="356"/>
      <c r="O161" s="356"/>
      <c r="P161" s="356"/>
      <c r="Q161" s="356"/>
      <c r="R161" s="356"/>
      <c r="S161" s="356"/>
    </row>
    <row r="162" spans="2:19" ht="15.75" hidden="1" x14ac:dyDescent="0.25">
      <c r="B162" s="354"/>
      <c r="C162" s="356"/>
      <c r="D162" s="356"/>
      <c r="E162" s="356"/>
      <c r="F162" s="356"/>
      <c r="G162" s="356"/>
      <c r="H162" s="356"/>
      <c r="I162" s="356"/>
      <c r="J162" s="356"/>
      <c r="K162" s="356"/>
      <c r="L162" s="356"/>
      <c r="M162" s="356"/>
      <c r="N162" s="356"/>
      <c r="O162" s="356"/>
      <c r="P162" s="356"/>
      <c r="Q162" s="356"/>
      <c r="R162" s="356"/>
      <c r="S162" s="356"/>
    </row>
    <row r="163" spans="2:19" ht="15.75" hidden="1" x14ac:dyDescent="0.25">
      <c r="B163" s="354"/>
      <c r="C163" s="356"/>
      <c r="D163" s="356"/>
      <c r="E163" s="356"/>
      <c r="F163" s="356"/>
      <c r="G163" s="356"/>
      <c r="H163" s="356"/>
      <c r="I163" s="356"/>
      <c r="J163" s="356"/>
      <c r="K163" s="356"/>
      <c r="L163" s="356"/>
      <c r="M163" s="356"/>
      <c r="N163" s="356"/>
      <c r="O163" s="356"/>
      <c r="P163" s="356"/>
      <c r="Q163" s="356"/>
      <c r="R163" s="356"/>
      <c r="S163" s="356"/>
    </row>
    <row r="164" spans="2:19" ht="15.75" hidden="1" x14ac:dyDescent="0.25">
      <c r="B164" s="354"/>
      <c r="C164" s="356"/>
      <c r="D164" s="356"/>
      <c r="E164" s="356"/>
      <c r="F164" s="356"/>
      <c r="G164" s="356"/>
      <c r="H164" s="356"/>
      <c r="I164" s="356"/>
      <c r="J164" s="356"/>
      <c r="K164" s="356"/>
      <c r="L164" s="356"/>
      <c r="M164" s="356"/>
      <c r="N164" s="356"/>
      <c r="O164" s="356"/>
      <c r="P164" s="356"/>
      <c r="Q164" s="356"/>
      <c r="R164" s="356"/>
      <c r="S164" s="356"/>
    </row>
    <row r="165" spans="2:19" ht="15.75" hidden="1" x14ac:dyDescent="0.25">
      <c r="B165" s="354"/>
      <c r="C165" s="356"/>
      <c r="D165" s="356"/>
      <c r="E165" s="356"/>
      <c r="F165" s="356"/>
      <c r="G165" s="356"/>
      <c r="H165" s="356"/>
      <c r="I165" s="356"/>
      <c r="J165" s="356"/>
      <c r="K165" s="356"/>
      <c r="L165" s="356"/>
      <c r="M165" s="356"/>
      <c r="N165" s="356"/>
      <c r="O165" s="356"/>
      <c r="P165" s="356"/>
      <c r="Q165" s="356"/>
      <c r="R165" s="356"/>
      <c r="S165" s="356"/>
    </row>
    <row r="166" spans="2:19" ht="15.75" hidden="1" x14ac:dyDescent="0.25">
      <c r="B166" s="354"/>
      <c r="C166" s="356"/>
      <c r="D166" s="356"/>
      <c r="E166" s="356"/>
      <c r="F166" s="356"/>
      <c r="G166" s="356"/>
      <c r="H166" s="356"/>
      <c r="I166" s="356"/>
      <c r="J166" s="356"/>
      <c r="K166" s="356"/>
      <c r="L166" s="356"/>
      <c r="M166" s="356"/>
      <c r="N166" s="356"/>
      <c r="O166" s="356"/>
      <c r="P166" s="356"/>
      <c r="Q166" s="356"/>
      <c r="R166" s="356"/>
      <c r="S166" s="356"/>
    </row>
    <row r="167" spans="2:19" ht="15.75" hidden="1" x14ac:dyDescent="0.25">
      <c r="B167" s="354"/>
      <c r="C167" s="356"/>
      <c r="D167" s="356"/>
      <c r="E167" s="356"/>
      <c r="F167" s="356"/>
      <c r="G167" s="356"/>
      <c r="H167" s="356"/>
      <c r="I167" s="356"/>
      <c r="J167" s="356"/>
      <c r="K167" s="356"/>
      <c r="L167" s="356"/>
      <c r="M167" s="356"/>
      <c r="N167" s="356"/>
      <c r="O167" s="356"/>
      <c r="P167" s="356"/>
      <c r="Q167" s="356"/>
      <c r="R167" s="356"/>
      <c r="S167" s="356"/>
    </row>
    <row r="168" spans="2:19" ht="15.75" hidden="1" x14ac:dyDescent="0.25">
      <c r="B168" s="354"/>
      <c r="C168" s="356"/>
      <c r="D168" s="356"/>
      <c r="E168" s="356"/>
      <c r="F168" s="356"/>
      <c r="G168" s="356"/>
      <c r="H168" s="356"/>
      <c r="I168" s="356"/>
      <c r="J168" s="356"/>
      <c r="K168" s="356"/>
      <c r="L168" s="356"/>
      <c r="M168" s="356"/>
      <c r="N168" s="356"/>
      <c r="O168" s="356"/>
      <c r="P168" s="356"/>
      <c r="Q168" s="356"/>
      <c r="R168" s="356"/>
      <c r="S168" s="356"/>
    </row>
    <row r="169" spans="2:19" ht="15.75" hidden="1" x14ac:dyDescent="0.25">
      <c r="B169" s="354"/>
      <c r="C169" s="356"/>
      <c r="D169" s="356"/>
      <c r="E169" s="356"/>
      <c r="F169" s="356"/>
      <c r="G169" s="356"/>
      <c r="H169" s="356"/>
      <c r="I169" s="356"/>
      <c r="J169" s="356"/>
      <c r="K169" s="356"/>
      <c r="L169" s="356"/>
      <c r="M169" s="356"/>
      <c r="N169" s="356"/>
      <c r="O169" s="356"/>
      <c r="P169" s="356"/>
      <c r="Q169" s="356"/>
      <c r="R169" s="356"/>
      <c r="S169" s="356"/>
    </row>
    <row r="170" spans="2:19" ht="15.75" hidden="1" x14ac:dyDescent="0.25">
      <c r="B170" s="354"/>
      <c r="C170" s="356"/>
      <c r="D170" s="356"/>
      <c r="E170" s="356"/>
      <c r="F170" s="356"/>
      <c r="G170" s="356"/>
      <c r="H170" s="356"/>
      <c r="I170" s="356"/>
      <c r="J170" s="356"/>
      <c r="K170" s="356"/>
      <c r="L170" s="356"/>
      <c r="M170" s="356"/>
      <c r="N170" s="356"/>
      <c r="O170" s="356"/>
      <c r="P170" s="356"/>
      <c r="Q170" s="356"/>
      <c r="R170" s="356"/>
      <c r="S170" s="356"/>
    </row>
    <row r="171" spans="2:19" ht="15.75" hidden="1" x14ac:dyDescent="0.25">
      <c r="B171" s="354"/>
      <c r="C171" s="356"/>
      <c r="D171" s="356"/>
      <c r="E171" s="356"/>
      <c r="F171" s="356"/>
      <c r="G171" s="356"/>
      <c r="H171" s="356"/>
      <c r="I171" s="356"/>
      <c r="J171" s="356"/>
      <c r="K171" s="356"/>
      <c r="L171" s="356"/>
      <c r="M171" s="356"/>
      <c r="N171" s="356"/>
      <c r="O171" s="356"/>
      <c r="P171" s="356"/>
      <c r="Q171" s="356"/>
      <c r="R171" s="356"/>
      <c r="S171" s="356"/>
    </row>
    <row r="172" spans="2:19" ht="15.75" hidden="1" x14ac:dyDescent="0.25">
      <c r="B172" s="354"/>
      <c r="C172" s="356"/>
      <c r="D172" s="356"/>
      <c r="E172" s="356"/>
      <c r="F172" s="356"/>
      <c r="G172" s="356"/>
      <c r="H172" s="356"/>
      <c r="I172" s="356"/>
      <c r="J172" s="356"/>
      <c r="K172" s="356"/>
      <c r="L172" s="356"/>
      <c r="M172" s="356"/>
      <c r="N172" s="356"/>
      <c r="O172" s="356"/>
      <c r="P172" s="356"/>
      <c r="Q172" s="356"/>
      <c r="R172" s="356"/>
      <c r="S172" s="356"/>
    </row>
    <row r="173" spans="2:19" ht="15.75" hidden="1" x14ac:dyDescent="0.25">
      <c r="B173" s="354"/>
      <c r="C173" s="356"/>
      <c r="D173" s="356"/>
      <c r="E173" s="356"/>
      <c r="F173" s="356"/>
      <c r="G173" s="356"/>
      <c r="H173" s="356"/>
      <c r="I173" s="356"/>
      <c r="J173" s="356"/>
      <c r="K173" s="356"/>
      <c r="L173" s="356"/>
      <c r="M173" s="356"/>
      <c r="N173" s="356"/>
      <c r="O173" s="356"/>
      <c r="P173" s="356"/>
      <c r="Q173" s="356"/>
      <c r="R173" s="356"/>
      <c r="S173" s="356"/>
    </row>
    <row r="174" spans="2:19" ht="15.75" hidden="1" x14ac:dyDescent="0.25">
      <c r="B174" s="354"/>
      <c r="C174" s="356"/>
      <c r="D174" s="356"/>
      <c r="E174" s="356"/>
      <c r="F174" s="356"/>
      <c r="G174" s="356"/>
      <c r="H174" s="356"/>
      <c r="I174" s="356"/>
      <c r="J174" s="356"/>
      <c r="K174" s="356"/>
      <c r="L174" s="356"/>
      <c r="M174" s="356"/>
      <c r="N174" s="356"/>
      <c r="O174" s="356"/>
      <c r="P174" s="356"/>
      <c r="Q174" s="356"/>
      <c r="R174" s="356"/>
      <c r="S174" s="356"/>
    </row>
    <row r="175" spans="2:19" ht="15.75" hidden="1" x14ac:dyDescent="0.25">
      <c r="B175" s="354"/>
      <c r="C175" s="356"/>
      <c r="D175" s="356"/>
      <c r="E175" s="356"/>
      <c r="F175" s="356"/>
      <c r="G175" s="356"/>
      <c r="H175" s="356"/>
      <c r="I175" s="356"/>
      <c r="J175" s="356"/>
      <c r="K175" s="356"/>
      <c r="L175" s="356"/>
      <c r="M175" s="356"/>
      <c r="N175" s="356"/>
      <c r="O175" s="356"/>
      <c r="P175" s="356"/>
      <c r="Q175" s="356"/>
      <c r="R175" s="356"/>
      <c r="S175" s="356"/>
    </row>
    <row r="176" spans="2:19" ht="15.75" hidden="1" x14ac:dyDescent="0.25">
      <c r="B176" s="354"/>
      <c r="C176" s="356"/>
      <c r="D176" s="356"/>
      <c r="E176" s="356"/>
      <c r="F176" s="356"/>
      <c r="G176" s="356"/>
      <c r="H176" s="356"/>
      <c r="I176" s="356"/>
      <c r="J176" s="356"/>
      <c r="K176" s="356"/>
      <c r="L176" s="356"/>
      <c r="M176" s="356"/>
      <c r="N176" s="356"/>
      <c r="O176" s="356"/>
      <c r="P176" s="356"/>
      <c r="Q176" s="356"/>
      <c r="R176" s="356"/>
      <c r="S176" s="356"/>
    </row>
    <row r="177" spans="2:19" ht="15.75" hidden="1" x14ac:dyDescent="0.25">
      <c r="B177" s="354"/>
      <c r="C177" s="356"/>
      <c r="D177" s="356"/>
      <c r="E177" s="356"/>
      <c r="F177" s="356"/>
      <c r="G177" s="356"/>
      <c r="H177" s="356"/>
      <c r="I177" s="356"/>
      <c r="J177" s="356"/>
      <c r="K177" s="356"/>
      <c r="L177" s="356"/>
      <c r="M177" s="356"/>
      <c r="N177" s="356"/>
      <c r="O177" s="356"/>
      <c r="P177" s="356"/>
      <c r="Q177" s="356"/>
      <c r="R177" s="356"/>
      <c r="S177" s="356"/>
    </row>
    <row r="178" spans="2:19" ht="15.75" hidden="1" x14ac:dyDescent="0.25">
      <c r="B178" s="354"/>
      <c r="C178" s="356"/>
      <c r="D178" s="356"/>
      <c r="E178" s="356"/>
      <c r="F178" s="356"/>
      <c r="G178" s="356"/>
      <c r="H178" s="356"/>
      <c r="I178" s="356"/>
      <c r="J178" s="356"/>
      <c r="K178" s="356"/>
      <c r="L178" s="356"/>
      <c r="M178" s="356"/>
      <c r="N178" s="356"/>
      <c r="O178" s="356"/>
      <c r="P178" s="356"/>
      <c r="Q178" s="356"/>
      <c r="R178" s="356"/>
      <c r="S178" s="356"/>
    </row>
    <row r="179" spans="2:19" ht="15.75" hidden="1" x14ac:dyDescent="0.25">
      <c r="B179" s="354"/>
      <c r="C179" s="356"/>
      <c r="D179" s="356"/>
      <c r="E179" s="356"/>
      <c r="F179" s="356"/>
      <c r="G179" s="356"/>
      <c r="H179" s="356"/>
      <c r="I179" s="356"/>
      <c r="J179" s="356"/>
      <c r="K179" s="356"/>
      <c r="L179" s="356"/>
      <c r="M179" s="356"/>
      <c r="N179" s="356"/>
      <c r="O179" s="356"/>
      <c r="P179" s="356"/>
      <c r="Q179" s="356"/>
      <c r="R179" s="356"/>
      <c r="S179" s="356"/>
    </row>
    <row r="180" spans="2:19" ht="15.75" hidden="1" x14ac:dyDescent="0.25">
      <c r="B180" s="354"/>
      <c r="C180" s="356"/>
      <c r="D180" s="356"/>
      <c r="E180" s="356"/>
      <c r="F180" s="356"/>
      <c r="G180" s="356"/>
      <c r="H180" s="356"/>
      <c r="I180" s="356"/>
      <c r="J180" s="356"/>
      <c r="K180" s="356"/>
      <c r="L180" s="356"/>
      <c r="M180" s="356"/>
      <c r="N180" s="356"/>
      <c r="O180" s="356"/>
      <c r="P180" s="356"/>
      <c r="Q180" s="356"/>
      <c r="R180" s="356"/>
      <c r="S180" s="356"/>
    </row>
    <row r="181" spans="2:19" ht="15.75" hidden="1" x14ac:dyDescent="0.25">
      <c r="B181" s="354"/>
      <c r="C181" s="356"/>
      <c r="D181" s="356"/>
      <c r="E181" s="356"/>
      <c r="F181" s="356"/>
      <c r="G181" s="356"/>
      <c r="H181" s="356"/>
      <c r="I181" s="356"/>
      <c r="J181" s="356"/>
      <c r="K181" s="356"/>
      <c r="L181" s="356"/>
      <c r="M181" s="356"/>
      <c r="N181" s="356"/>
      <c r="O181" s="356"/>
      <c r="P181" s="356"/>
      <c r="Q181" s="356"/>
      <c r="R181" s="356"/>
      <c r="S181" s="356"/>
    </row>
    <row r="182" spans="2:19" ht="15.75" hidden="1" x14ac:dyDescent="0.25">
      <c r="B182" s="354"/>
      <c r="C182" s="356"/>
      <c r="D182" s="356"/>
      <c r="E182" s="356"/>
      <c r="F182" s="356"/>
      <c r="G182" s="356"/>
      <c r="H182" s="356"/>
      <c r="I182" s="356"/>
      <c r="J182" s="356"/>
      <c r="K182" s="356"/>
      <c r="L182" s="356"/>
      <c r="M182" s="356"/>
      <c r="N182" s="356"/>
      <c r="O182" s="356"/>
      <c r="P182" s="356"/>
      <c r="Q182" s="356"/>
      <c r="R182" s="356"/>
      <c r="S182" s="356"/>
    </row>
    <row r="183" spans="2:19" ht="15.75" hidden="1" x14ac:dyDescent="0.25">
      <c r="B183" s="354"/>
      <c r="C183" s="356"/>
      <c r="D183" s="356"/>
      <c r="E183" s="356"/>
      <c r="F183" s="356"/>
      <c r="G183" s="356"/>
      <c r="H183" s="356"/>
      <c r="I183" s="356"/>
      <c r="J183" s="356"/>
      <c r="K183" s="356"/>
      <c r="L183" s="356"/>
      <c r="M183" s="356"/>
      <c r="N183" s="356"/>
      <c r="O183" s="356"/>
      <c r="P183" s="356"/>
      <c r="Q183" s="356"/>
      <c r="R183" s="356"/>
      <c r="S183" s="356"/>
    </row>
    <row r="184" spans="2:19" ht="15.75" hidden="1" x14ac:dyDescent="0.25">
      <c r="B184" s="354"/>
      <c r="C184" s="356"/>
      <c r="D184" s="356"/>
      <c r="E184" s="356"/>
      <c r="F184" s="356"/>
      <c r="G184" s="356"/>
      <c r="H184" s="356"/>
      <c r="I184" s="356"/>
      <c r="J184" s="356"/>
      <c r="K184" s="356"/>
      <c r="L184" s="356"/>
      <c r="M184" s="356"/>
      <c r="N184" s="356"/>
      <c r="O184" s="356"/>
      <c r="P184" s="356"/>
      <c r="Q184" s="356"/>
      <c r="R184" s="356"/>
      <c r="S184" s="356"/>
    </row>
    <row r="185" spans="2:19" ht="15.75" hidden="1" x14ac:dyDescent="0.25">
      <c r="B185" s="354"/>
      <c r="C185" s="356"/>
      <c r="D185" s="356"/>
      <c r="E185" s="356"/>
      <c r="F185" s="356"/>
      <c r="G185" s="356"/>
      <c r="H185" s="356"/>
      <c r="I185" s="356"/>
      <c r="J185" s="356"/>
      <c r="K185" s="356"/>
      <c r="L185" s="356"/>
      <c r="M185" s="356"/>
      <c r="N185" s="356"/>
      <c r="O185" s="356"/>
      <c r="P185" s="356"/>
      <c r="Q185" s="356"/>
      <c r="R185" s="356"/>
      <c r="S185" s="356"/>
    </row>
    <row r="186" spans="2:19" ht="15.75" hidden="1" x14ac:dyDescent="0.25">
      <c r="B186" s="354"/>
      <c r="C186" s="356"/>
      <c r="D186" s="356"/>
      <c r="E186" s="356"/>
      <c r="F186" s="356"/>
      <c r="G186" s="356"/>
      <c r="H186" s="356"/>
      <c r="I186" s="356"/>
      <c r="J186" s="356"/>
      <c r="K186" s="356"/>
      <c r="L186" s="356"/>
      <c r="M186" s="356"/>
      <c r="N186" s="356"/>
      <c r="O186" s="356"/>
      <c r="P186" s="356"/>
      <c r="Q186" s="356"/>
      <c r="R186" s="356"/>
      <c r="S186" s="356"/>
    </row>
    <row r="187" spans="2:19" ht="15.75" hidden="1" x14ac:dyDescent="0.25">
      <c r="B187" s="354"/>
      <c r="C187" s="356"/>
      <c r="D187" s="356"/>
      <c r="E187" s="356"/>
      <c r="F187" s="356"/>
      <c r="G187" s="356"/>
      <c r="H187" s="356"/>
      <c r="I187" s="356"/>
      <c r="J187" s="356"/>
      <c r="K187" s="356"/>
      <c r="L187" s="356"/>
      <c r="M187" s="356"/>
      <c r="N187" s="356"/>
      <c r="O187" s="356"/>
      <c r="P187" s="356"/>
      <c r="Q187" s="356"/>
      <c r="R187" s="356"/>
      <c r="S187" s="356"/>
    </row>
    <row r="188" spans="2:19" ht="15.75" hidden="1" x14ac:dyDescent="0.25">
      <c r="B188" s="354"/>
      <c r="C188" s="356"/>
      <c r="D188" s="356"/>
      <c r="E188" s="356"/>
      <c r="F188" s="356"/>
      <c r="G188" s="356"/>
      <c r="H188" s="356"/>
      <c r="I188" s="356"/>
      <c r="J188" s="356"/>
      <c r="K188" s="356"/>
      <c r="L188" s="356"/>
      <c r="M188" s="356"/>
      <c r="N188" s="356"/>
      <c r="O188" s="356"/>
      <c r="P188" s="356"/>
      <c r="Q188" s="356"/>
      <c r="R188" s="356"/>
      <c r="S188" s="356"/>
    </row>
    <row r="189" spans="2:19" ht="15.75" hidden="1" x14ac:dyDescent="0.25">
      <c r="B189" s="354"/>
      <c r="C189" s="356"/>
      <c r="D189" s="356"/>
      <c r="E189" s="356"/>
      <c r="F189" s="356"/>
      <c r="G189" s="356"/>
      <c r="H189" s="356"/>
      <c r="I189" s="356"/>
      <c r="J189" s="356"/>
      <c r="K189" s="356"/>
      <c r="L189" s="356"/>
      <c r="M189" s="356"/>
      <c r="N189" s="356"/>
      <c r="O189" s="356"/>
      <c r="P189" s="356"/>
      <c r="Q189" s="356"/>
      <c r="R189" s="356"/>
      <c r="S189" s="356"/>
    </row>
    <row r="190" spans="2:19" ht="15.75" hidden="1" x14ac:dyDescent="0.25">
      <c r="B190" s="354"/>
      <c r="C190" s="356"/>
      <c r="D190" s="356"/>
      <c r="E190" s="356"/>
      <c r="F190" s="356"/>
      <c r="G190" s="356"/>
      <c r="H190" s="356"/>
      <c r="I190" s="356"/>
      <c r="J190" s="356"/>
      <c r="K190" s="356"/>
      <c r="L190" s="356"/>
      <c r="M190" s="356"/>
      <c r="N190" s="356"/>
      <c r="O190" s="356"/>
      <c r="P190" s="356"/>
      <c r="Q190" s="356"/>
      <c r="R190" s="356"/>
      <c r="S190" s="356"/>
    </row>
    <row r="191" spans="2:19" ht="15.75" hidden="1" x14ac:dyDescent="0.25">
      <c r="B191" s="354"/>
      <c r="C191" s="356"/>
      <c r="D191" s="356"/>
      <c r="E191" s="356"/>
      <c r="F191" s="356"/>
      <c r="G191" s="356"/>
      <c r="H191" s="356"/>
      <c r="I191" s="356"/>
      <c r="J191" s="356"/>
      <c r="K191" s="356"/>
      <c r="L191" s="356"/>
      <c r="M191" s="356"/>
      <c r="N191" s="356"/>
      <c r="O191" s="356"/>
      <c r="P191" s="356"/>
      <c r="Q191" s="356"/>
      <c r="R191" s="356"/>
      <c r="S191" s="356"/>
    </row>
    <row r="192" spans="2:19" ht="15.75" hidden="1" x14ac:dyDescent="0.25">
      <c r="B192" s="354"/>
      <c r="C192" s="356"/>
      <c r="D192" s="356"/>
      <c r="E192" s="356"/>
      <c r="F192" s="356"/>
      <c r="G192" s="356"/>
      <c r="H192" s="356"/>
      <c r="I192" s="356"/>
      <c r="J192" s="356"/>
      <c r="K192" s="356"/>
      <c r="L192" s="356"/>
      <c r="M192" s="356"/>
      <c r="N192" s="356"/>
      <c r="O192" s="356"/>
      <c r="P192" s="356"/>
      <c r="Q192" s="356"/>
      <c r="R192" s="356"/>
      <c r="S192" s="356"/>
    </row>
    <row r="193" spans="2:19" ht="15.75" hidden="1" x14ac:dyDescent="0.25">
      <c r="B193" s="354"/>
      <c r="C193" s="356"/>
      <c r="D193" s="356"/>
      <c r="E193" s="356"/>
      <c r="F193" s="356"/>
      <c r="G193" s="356"/>
      <c r="H193" s="356"/>
      <c r="I193" s="356"/>
      <c r="J193" s="356"/>
      <c r="K193" s="356"/>
      <c r="L193" s="356"/>
      <c r="M193" s="356"/>
      <c r="N193" s="356"/>
      <c r="O193" s="356"/>
      <c r="P193" s="356"/>
      <c r="Q193" s="356"/>
      <c r="R193" s="356"/>
      <c r="S193" s="356"/>
    </row>
    <row r="194" spans="2:19" ht="15.75" hidden="1" x14ac:dyDescent="0.25">
      <c r="B194" s="354"/>
      <c r="C194" s="356"/>
      <c r="D194" s="356"/>
      <c r="E194" s="356"/>
      <c r="F194" s="356"/>
      <c r="G194" s="356"/>
      <c r="H194" s="356"/>
      <c r="I194" s="356"/>
      <c r="J194" s="356"/>
      <c r="K194" s="356"/>
      <c r="L194" s="356"/>
      <c r="M194" s="356"/>
      <c r="N194" s="356"/>
      <c r="O194" s="356"/>
      <c r="P194" s="356"/>
      <c r="Q194" s="356"/>
      <c r="R194" s="356"/>
      <c r="S194" s="356"/>
    </row>
    <row r="195" spans="2:19" ht="15.75" hidden="1" x14ac:dyDescent="0.25">
      <c r="B195" s="354"/>
      <c r="C195" s="356"/>
      <c r="D195" s="356"/>
      <c r="E195" s="356"/>
      <c r="F195" s="356"/>
      <c r="G195" s="356"/>
      <c r="H195" s="356"/>
      <c r="I195" s="356"/>
      <c r="J195" s="356"/>
      <c r="K195" s="356"/>
      <c r="L195" s="356"/>
      <c r="M195" s="356"/>
      <c r="N195" s="356"/>
      <c r="O195" s="356"/>
      <c r="P195" s="356"/>
      <c r="Q195" s="356"/>
      <c r="R195" s="356"/>
      <c r="S195" s="356"/>
    </row>
    <row r="196" spans="2:19" ht="15.75" hidden="1" x14ac:dyDescent="0.25">
      <c r="B196" s="354"/>
      <c r="C196" s="356"/>
      <c r="D196" s="356"/>
      <c r="E196" s="356"/>
      <c r="F196" s="356"/>
      <c r="G196" s="356"/>
      <c r="H196" s="356"/>
      <c r="I196" s="356"/>
      <c r="J196" s="356"/>
      <c r="K196" s="356"/>
      <c r="L196" s="356"/>
      <c r="M196" s="356"/>
      <c r="N196" s="356"/>
      <c r="O196" s="356"/>
      <c r="P196" s="356"/>
      <c r="Q196" s="356"/>
      <c r="R196" s="356"/>
      <c r="S196" s="356"/>
    </row>
    <row r="197" spans="2:19" ht="15.75" hidden="1" x14ac:dyDescent="0.25">
      <c r="B197" s="354"/>
      <c r="C197" s="356"/>
      <c r="D197" s="356"/>
      <c r="E197" s="356"/>
      <c r="F197" s="356"/>
      <c r="G197" s="356"/>
      <c r="H197" s="356"/>
      <c r="I197" s="356"/>
      <c r="J197" s="356"/>
      <c r="K197" s="356"/>
      <c r="L197" s="356"/>
      <c r="M197" s="356"/>
      <c r="N197" s="356"/>
      <c r="O197" s="356"/>
      <c r="P197" s="356"/>
      <c r="Q197" s="356"/>
      <c r="R197" s="356"/>
      <c r="S197" s="356"/>
    </row>
    <row r="198" spans="2:19" ht="15.75" hidden="1" x14ac:dyDescent="0.25">
      <c r="B198" s="354"/>
      <c r="C198" s="356"/>
      <c r="D198" s="356"/>
      <c r="E198" s="356"/>
      <c r="F198" s="356"/>
      <c r="G198" s="356"/>
      <c r="H198" s="356"/>
      <c r="I198" s="356"/>
      <c r="J198" s="356"/>
      <c r="K198" s="356"/>
      <c r="L198" s="356"/>
      <c r="M198" s="356"/>
      <c r="N198" s="356"/>
      <c r="O198" s="356"/>
      <c r="P198" s="356"/>
      <c r="Q198" s="356"/>
      <c r="R198" s="356"/>
      <c r="S198" s="356"/>
    </row>
    <row r="199" spans="2:19" ht="15.75" hidden="1" x14ac:dyDescent="0.25">
      <c r="B199" s="354"/>
      <c r="C199" s="356"/>
      <c r="D199" s="356"/>
      <c r="E199" s="356"/>
      <c r="F199" s="356"/>
      <c r="G199" s="356"/>
      <c r="H199" s="356"/>
      <c r="I199" s="356"/>
      <c r="J199" s="356"/>
      <c r="K199" s="356"/>
      <c r="L199" s="356"/>
      <c r="M199" s="356"/>
      <c r="N199" s="356"/>
      <c r="O199" s="356"/>
      <c r="P199" s="356"/>
      <c r="Q199" s="356"/>
      <c r="R199" s="356"/>
      <c r="S199" s="356"/>
    </row>
    <row r="200" spans="2:19" ht="15.75" hidden="1" x14ac:dyDescent="0.25">
      <c r="B200" s="354"/>
      <c r="C200" s="356"/>
      <c r="D200" s="356"/>
      <c r="E200" s="356"/>
      <c r="F200" s="356"/>
      <c r="G200" s="356"/>
      <c r="H200" s="356"/>
      <c r="I200" s="356"/>
      <c r="J200" s="356"/>
      <c r="K200" s="356"/>
      <c r="L200" s="356"/>
      <c r="M200" s="356"/>
      <c r="N200" s="356"/>
      <c r="O200" s="356"/>
      <c r="P200" s="356"/>
      <c r="Q200" s="356"/>
      <c r="R200" s="356"/>
      <c r="S200" s="356"/>
    </row>
    <row r="201" spans="2:19" ht="15.75" hidden="1" x14ac:dyDescent="0.25">
      <c r="B201" s="354"/>
      <c r="C201" s="356"/>
      <c r="D201" s="356"/>
      <c r="E201" s="356"/>
      <c r="F201" s="356"/>
      <c r="G201" s="356"/>
      <c r="H201" s="356"/>
      <c r="I201" s="356"/>
      <c r="J201" s="356"/>
      <c r="K201" s="356"/>
      <c r="L201" s="356"/>
      <c r="M201" s="356"/>
      <c r="N201" s="356"/>
      <c r="O201" s="356"/>
      <c r="P201" s="356"/>
      <c r="Q201" s="356"/>
      <c r="R201" s="356"/>
      <c r="S201" s="356"/>
    </row>
    <row r="202" spans="2:19" ht="15.75" hidden="1" x14ac:dyDescent="0.25">
      <c r="B202" s="354"/>
      <c r="C202" s="356"/>
      <c r="D202" s="356"/>
      <c r="E202" s="356"/>
      <c r="F202" s="356"/>
      <c r="G202" s="356"/>
      <c r="H202" s="356"/>
      <c r="I202" s="356"/>
      <c r="J202" s="356"/>
      <c r="K202" s="356"/>
      <c r="L202" s="356"/>
      <c r="M202" s="356"/>
      <c r="N202" s="356"/>
      <c r="O202" s="356"/>
      <c r="P202" s="356"/>
      <c r="Q202" s="356"/>
      <c r="R202" s="356"/>
      <c r="S202" s="356"/>
    </row>
    <row r="203" spans="2:19" ht="15.75" hidden="1" x14ac:dyDescent="0.25">
      <c r="B203" s="354"/>
      <c r="C203" s="356"/>
      <c r="D203" s="356"/>
      <c r="E203" s="356"/>
      <c r="F203" s="356"/>
      <c r="G203" s="356"/>
      <c r="H203" s="356"/>
      <c r="I203" s="356"/>
      <c r="J203" s="356"/>
      <c r="K203" s="356"/>
      <c r="L203" s="356"/>
      <c r="M203" s="356"/>
      <c r="N203" s="356"/>
      <c r="O203" s="356"/>
      <c r="P203" s="356"/>
      <c r="Q203" s="356"/>
      <c r="R203" s="356"/>
      <c r="S203" s="356"/>
    </row>
    <row r="204" spans="2:19" ht="15.75" hidden="1" x14ac:dyDescent="0.25">
      <c r="B204" s="354"/>
      <c r="C204" s="356"/>
      <c r="D204" s="356"/>
      <c r="E204" s="356"/>
      <c r="F204" s="356"/>
      <c r="G204" s="356"/>
      <c r="H204" s="356"/>
      <c r="I204" s="356"/>
      <c r="J204" s="356"/>
      <c r="K204" s="356"/>
      <c r="L204" s="356"/>
      <c r="M204" s="356"/>
      <c r="N204" s="356"/>
      <c r="O204" s="356"/>
      <c r="P204" s="356"/>
      <c r="Q204" s="356"/>
      <c r="R204" s="356"/>
      <c r="S204" s="356"/>
    </row>
    <row r="205" spans="2:19" ht="15.75" hidden="1" x14ac:dyDescent="0.25">
      <c r="B205" s="354"/>
      <c r="C205" s="356"/>
      <c r="D205" s="356"/>
      <c r="E205" s="356"/>
      <c r="F205" s="356"/>
      <c r="G205" s="356"/>
      <c r="H205" s="356"/>
      <c r="I205" s="356"/>
      <c r="J205" s="356"/>
      <c r="K205" s="356"/>
      <c r="L205" s="356"/>
      <c r="M205" s="356"/>
      <c r="N205" s="356"/>
      <c r="O205" s="356"/>
      <c r="P205" s="356"/>
      <c r="Q205" s="356"/>
      <c r="R205" s="356"/>
      <c r="S205" s="356"/>
    </row>
    <row r="206" spans="2:19" ht="15.75" hidden="1" x14ac:dyDescent="0.25">
      <c r="B206" s="354"/>
      <c r="C206" s="356"/>
      <c r="D206" s="356"/>
      <c r="E206" s="356"/>
      <c r="F206" s="356"/>
      <c r="G206" s="356"/>
      <c r="H206" s="356"/>
      <c r="I206" s="356"/>
      <c r="J206" s="356"/>
      <c r="K206" s="356"/>
      <c r="L206" s="356"/>
      <c r="M206" s="356"/>
      <c r="N206" s="356"/>
      <c r="O206" s="356"/>
      <c r="P206" s="356"/>
      <c r="Q206" s="356"/>
      <c r="R206" s="356"/>
      <c r="S206" s="356"/>
    </row>
    <row r="207" spans="2:19" ht="15.75" hidden="1" x14ac:dyDescent="0.25">
      <c r="B207" s="354"/>
      <c r="C207" s="356"/>
      <c r="D207" s="356"/>
      <c r="E207" s="356"/>
      <c r="F207" s="356"/>
      <c r="G207" s="356"/>
      <c r="H207" s="356"/>
      <c r="I207" s="356"/>
      <c r="J207" s="356"/>
      <c r="K207" s="356"/>
      <c r="L207" s="356"/>
      <c r="M207" s="356"/>
      <c r="N207" s="356"/>
      <c r="O207" s="356"/>
      <c r="P207" s="356"/>
      <c r="Q207" s="356"/>
      <c r="R207" s="356"/>
      <c r="S207" s="356"/>
    </row>
    <row r="208" spans="2:19" ht="15.75" hidden="1" x14ac:dyDescent="0.25">
      <c r="B208" s="354"/>
      <c r="C208" s="356"/>
      <c r="D208" s="356"/>
      <c r="E208" s="356"/>
      <c r="F208" s="356"/>
      <c r="G208" s="356"/>
      <c r="H208" s="356"/>
      <c r="I208" s="356"/>
      <c r="J208" s="356"/>
      <c r="K208" s="356"/>
      <c r="L208" s="356"/>
      <c r="M208" s="356"/>
      <c r="N208" s="356"/>
      <c r="O208" s="356"/>
      <c r="P208" s="356"/>
      <c r="Q208" s="356"/>
      <c r="R208" s="356"/>
      <c r="S208" s="356"/>
    </row>
    <row r="209" spans="2:19" ht="15.75" hidden="1" x14ac:dyDescent="0.25">
      <c r="B209" s="354"/>
      <c r="C209" s="356"/>
      <c r="D209" s="356"/>
      <c r="E209" s="356"/>
      <c r="F209" s="356"/>
      <c r="G209" s="356"/>
      <c r="H209" s="356"/>
      <c r="I209" s="356"/>
      <c r="J209" s="356"/>
      <c r="K209" s="356"/>
      <c r="L209" s="356"/>
      <c r="M209" s="356"/>
      <c r="N209" s="356"/>
      <c r="O209" s="356"/>
      <c r="P209" s="356"/>
      <c r="Q209" s="356"/>
      <c r="R209" s="356"/>
      <c r="S209" s="356"/>
    </row>
    <row r="210" spans="2:19" ht="15.75" hidden="1" x14ac:dyDescent="0.25">
      <c r="B210" s="354"/>
      <c r="C210" s="356"/>
      <c r="D210" s="356"/>
      <c r="E210" s="356"/>
      <c r="F210" s="356"/>
      <c r="G210" s="356"/>
      <c r="H210" s="356"/>
      <c r="I210" s="356"/>
      <c r="J210" s="356"/>
      <c r="K210" s="356"/>
      <c r="L210" s="356"/>
      <c r="M210" s="356"/>
      <c r="N210" s="356"/>
      <c r="O210" s="356"/>
      <c r="P210" s="356"/>
      <c r="Q210" s="356"/>
      <c r="R210" s="356"/>
      <c r="S210" s="356"/>
    </row>
    <row r="211" spans="2:19" ht="15.75" hidden="1" x14ac:dyDescent="0.25">
      <c r="B211" s="354"/>
      <c r="C211" s="356"/>
      <c r="D211" s="356"/>
      <c r="E211" s="356"/>
      <c r="F211" s="356"/>
      <c r="G211" s="356"/>
      <c r="H211" s="356"/>
      <c r="I211" s="356"/>
      <c r="J211" s="356"/>
      <c r="K211" s="356"/>
      <c r="L211" s="356"/>
      <c r="M211" s="356"/>
      <c r="N211" s="356"/>
      <c r="O211" s="356"/>
      <c r="P211" s="356"/>
      <c r="Q211" s="356"/>
      <c r="R211" s="356"/>
      <c r="S211" s="356"/>
    </row>
    <row r="212" spans="2:19" ht="15.75" hidden="1" x14ac:dyDescent="0.25">
      <c r="B212" s="354"/>
      <c r="C212" s="356"/>
      <c r="D212" s="356"/>
      <c r="E212" s="356"/>
      <c r="F212" s="356"/>
      <c r="G212" s="356"/>
      <c r="H212" s="356"/>
      <c r="I212" s="356"/>
      <c r="J212" s="356"/>
      <c r="K212" s="356"/>
      <c r="L212" s="356"/>
      <c r="M212" s="356"/>
      <c r="N212" s="356"/>
      <c r="O212" s="356"/>
      <c r="P212" s="356"/>
      <c r="Q212" s="356"/>
      <c r="R212" s="356"/>
      <c r="S212" s="356"/>
    </row>
    <row r="213" spans="2:19" ht="15.75" hidden="1" x14ac:dyDescent="0.25">
      <c r="B213" s="354"/>
      <c r="C213" s="356"/>
      <c r="D213" s="356"/>
      <c r="E213" s="356"/>
      <c r="F213" s="356"/>
      <c r="G213" s="356"/>
      <c r="H213" s="356"/>
      <c r="I213" s="356"/>
      <c r="J213" s="356"/>
      <c r="K213" s="356"/>
      <c r="L213" s="356"/>
      <c r="M213" s="356"/>
      <c r="N213" s="356"/>
      <c r="O213" s="356"/>
      <c r="P213" s="356"/>
      <c r="Q213" s="356"/>
      <c r="R213" s="356"/>
      <c r="S213" s="356"/>
    </row>
    <row r="214" spans="2:19" ht="15.75" hidden="1" x14ac:dyDescent="0.25">
      <c r="B214" s="354"/>
      <c r="C214" s="356"/>
      <c r="D214" s="356"/>
      <c r="E214" s="356"/>
      <c r="F214" s="356"/>
      <c r="G214" s="356"/>
      <c r="H214" s="356"/>
      <c r="I214" s="356"/>
      <c r="J214" s="356"/>
      <c r="K214" s="356"/>
      <c r="L214" s="356"/>
      <c r="M214" s="356"/>
      <c r="N214" s="356"/>
      <c r="O214" s="356"/>
      <c r="P214" s="356"/>
      <c r="Q214" s="356"/>
      <c r="R214" s="356"/>
      <c r="S214" s="356"/>
    </row>
    <row r="215" spans="2:19" ht="15.75" hidden="1" x14ac:dyDescent="0.25">
      <c r="B215" s="354"/>
      <c r="C215" s="356"/>
      <c r="D215" s="356"/>
      <c r="E215" s="356"/>
      <c r="F215" s="356"/>
      <c r="G215" s="356"/>
      <c r="H215" s="356"/>
      <c r="I215" s="356"/>
      <c r="J215" s="356"/>
      <c r="K215" s="356"/>
      <c r="L215" s="356"/>
      <c r="M215" s="356"/>
      <c r="N215" s="356"/>
      <c r="O215" s="356"/>
      <c r="P215" s="356"/>
      <c r="Q215" s="356"/>
      <c r="R215" s="356"/>
      <c r="S215" s="356"/>
    </row>
    <row r="216" spans="2:19" ht="15.75" hidden="1" x14ac:dyDescent="0.25">
      <c r="B216" s="354"/>
      <c r="C216" s="356"/>
      <c r="D216" s="356"/>
      <c r="E216" s="356"/>
      <c r="F216" s="356"/>
      <c r="G216" s="356"/>
      <c r="H216" s="356"/>
      <c r="I216" s="356"/>
      <c r="J216" s="356"/>
      <c r="K216" s="356"/>
      <c r="L216" s="356"/>
      <c r="M216" s="356"/>
      <c r="N216" s="356"/>
      <c r="O216" s="356"/>
      <c r="P216" s="356"/>
      <c r="Q216" s="356"/>
      <c r="R216" s="356"/>
      <c r="S216" s="356"/>
    </row>
    <row r="217" spans="2:19" ht="15.75" hidden="1" x14ac:dyDescent="0.25">
      <c r="B217" s="354"/>
      <c r="C217" s="356"/>
      <c r="D217" s="356"/>
      <c r="E217" s="356"/>
      <c r="F217" s="356"/>
      <c r="G217" s="356"/>
      <c r="H217" s="356"/>
      <c r="I217" s="356"/>
      <c r="J217" s="356"/>
      <c r="K217" s="356"/>
      <c r="L217" s="356"/>
      <c r="M217" s="356"/>
      <c r="N217" s="356"/>
      <c r="O217" s="356"/>
      <c r="P217" s="356"/>
      <c r="Q217" s="356"/>
      <c r="R217" s="356"/>
      <c r="S217" s="356"/>
    </row>
    <row r="218" spans="2:19" ht="15.75" hidden="1" x14ac:dyDescent="0.25">
      <c r="B218" s="354"/>
      <c r="C218" s="356"/>
      <c r="D218" s="356"/>
      <c r="E218" s="356"/>
      <c r="F218" s="356"/>
      <c r="G218" s="356"/>
      <c r="H218" s="356"/>
      <c r="I218" s="356"/>
      <c r="J218" s="356"/>
      <c r="K218" s="356"/>
      <c r="L218" s="356"/>
      <c r="M218" s="356"/>
      <c r="N218" s="356"/>
      <c r="O218" s="356"/>
      <c r="P218" s="356"/>
      <c r="Q218" s="356"/>
      <c r="R218" s="356"/>
      <c r="S218" s="356"/>
    </row>
    <row r="219" spans="2:19" ht="15.75" hidden="1" x14ac:dyDescent="0.25">
      <c r="B219" s="354"/>
      <c r="C219" s="356"/>
      <c r="D219" s="356"/>
      <c r="E219" s="356"/>
      <c r="F219" s="356"/>
      <c r="G219" s="356"/>
      <c r="H219" s="356"/>
      <c r="I219" s="356"/>
      <c r="J219" s="356"/>
      <c r="K219" s="356"/>
      <c r="L219" s="356"/>
      <c r="M219" s="356"/>
      <c r="N219" s="356"/>
      <c r="O219" s="356"/>
      <c r="P219" s="356"/>
      <c r="Q219" s="356"/>
      <c r="R219" s="356"/>
      <c r="S219" s="356"/>
    </row>
    <row r="220" spans="2:19" ht="15.75" hidden="1" x14ac:dyDescent="0.25">
      <c r="B220" s="354"/>
      <c r="C220" s="356"/>
      <c r="D220" s="356"/>
      <c r="E220" s="356"/>
      <c r="F220" s="356"/>
      <c r="G220" s="356"/>
      <c r="H220" s="356"/>
      <c r="I220" s="356"/>
      <c r="J220" s="356"/>
      <c r="K220" s="356"/>
      <c r="L220" s="356"/>
      <c r="M220" s="356"/>
      <c r="N220" s="356"/>
      <c r="O220" s="356"/>
      <c r="P220" s="356"/>
      <c r="Q220" s="356"/>
      <c r="R220" s="356"/>
      <c r="S220" s="356"/>
    </row>
    <row r="221" spans="2:19" ht="15.75" hidden="1" x14ac:dyDescent="0.25">
      <c r="B221" s="354"/>
      <c r="C221" s="356"/>
      <c r="D221" s="356"/>
      <c r="E221" s="356"/>
      <c r="F221" s="356"/>
      <c r="G221" s="356"/>
      <c r="H221" s="356"/>
      <c r="I221" s="356"/>
      <c r="J221" s="356"/>
      <c r="K221" s="356"/>
      <c r="L221" s="356"/>
      <c r="M221" s="356"/>
      <c r="N221" s="356"/>
      <c r="O221" s="356"/>
      <c r="P221" s="356"/>
      <c r="Q221" s="356"/>
      <c r="R221" s="356"/>
      <c r="S221" s="356"/>
    </row>
    <row r="222" spans="2:19" ht="15.75" hidden="1" x14ac:dyDescent="0.25">
      <c r="B222" s="354"/>
      <c r="C222" s="356"/>
      <c r="D222" s="356"/>
      <c r="E222" s="356"/>
      <c r="F222" s="356"/>
      <c r="G222" s="356"/>
      <c r="H222" s="356"/>
      <c r="I222" s="356"/>
      <c r="J222" s="356"/>
      <c r="K222" s="356"/>
      <c r="L222" s="356"/>
      <c r="M222" s="356"/>
      <c r="N222" s="356"/>
      <c r="O222" s="356"/>
      <c r="P222" s="356"/>
      <c r="Q222" s="356"/>
      <c r="R222" s="356"/>
      <c r="S222" s="356"/>
    </row>
    <row r="223" spans="2:19" ht="15.75" hidden="1" x14ac:dyDescent="0.25">
      <c r="B223" s="354"/>
      <c r="C223" s="356"/>
      <c r="D223" s="356"/>
      <c r="E223" s="356"/>
      <c r="F223" s="356"/>
      <c r="G223" s="356"/>
      <c r="H223" s="356"/>
      <c r="I223" s="356"/>
      <c r="J223" s="356"/>
      <c r="K223" s="356"/>
      <c r="L223" s="356"/>
      <c r="M223" s="356"/>
      <c r="N223" s="356"/>
      <c r="O223" s="356"/>
      <c r="P223" s="356"/>
      <c r="Q223" s="356"/>
      <c r="R223" s="356"/>
      <c r="S223" s="356"/>
    </row>
    <row r="224" spans="2:19" ht="15.75" hidden="1" x14ac:dyDescent="0.25">
      <c r="B224" s="354"/>
      <c r="C224" s="356"/>
      <c r="D224" s="356"/>
      <c r="E224" s="356"/>
      <c r="F224" s="356"/>
      <c r="G224" s="356"/>
      <c r="H224" s="356"/>
      <c r="I224" s="356"/>
      <c r="J224" s="356"/>
      <c r="K224" s="356"/>
      <c r="L224" s="356"/>
      <c r="M224" s="356"/>
      <c r="N224" s="356"/>
      <c r="O224" s="356"/>
      <c r="P224" s="356"/>
      <c r="Q224" s="356"/>
      <c r="R224" s="356"/>
      <c r="S224" s="356"/>
    </row>
    <row r="225" spans="2:19" ht="15.75" hidden="1" x14ac:dyDescent="0.25">
      <c r="B225" s="354"/>
      <c r="C225" s="356"/>
      <c r="D225" s="356"/>
      <c r="E225" s="356"/>
      <c r="F225" s="356"/>
      <c r="G225" s="356"/>
      <c r="H225" s="356"/>
      <c r="I225" s="356"/>
      <c r="J225" s="356"/>
      <c r="K225" s="356"/>
      <c r="L225" s="356"/>
      <c r="M225" s="356"/>
      <c r="N225" s="356"/>
      <c r="O225" s="356"/>
      <c r="P225" s="356"/>
      <c r="Q225" s="356"/>
      <c r="R225" s="356"/>
      <c r="S225" s="356"/>
    </row>
    <row r="226" spans="2:19" ht="15.75" hidden="1" x14ac:dyDescent="0.25">
      <c r="B226" s="354"/>
      <c r="C226" s="356"/>
      <c r="D226" s="356"/>
      <c r="E226" s="356"/>
      <c r="F226" s="356"/>
      <c r="G226" s="356"/>
      <c r="H226" s="356"/>
      <c r="I226" s="356"/>
      <c r="J226" s="356"/>
      <c r="K226" s="356"/>
      <c r="L226" s="356"/>
      <c r="M226" s="356"/>
      <c r="N226" s="356"/>
      <c r="O226" s="356"/>
      <c r="P226" s="356"/>
      <c r="Q226" s="356"/>
      <c r="R226" s="356"/>
      <c r="S226" s="356"/>
    </row>
    <row r="227" spans="2:19" ht="15.75" hidden="1" x14ac:dyDescent="0.25">
      <c r="B227" s="354"/>
      <c r="C227" s="356"/>
      <c r="D227" s="356"/>
      <c r="E227" s="356"/>
      <c r="F227" s="356"/>
      <c r="G227" s="356"/>
      <c r="H227" s="356"/>
      <c r="I227" s="356"/>
      <c r="J227" s="356"/>
      <c r="K227" s="356"/>
      <c r="L227" s="356"/>
      <c r="M227" s="356"/>
      <c r="N227" s="356"/>
      <c r="O227" s="356"/>
      <c r="P227" s="356"/>
      <c r="Q227" s="356"/>
      <c r="R227" s="356"/>
      <c r="S227" s="356"/>
    </row>
    <row r="228" spans="2:19" ht="15.75" hidden="1" x14ac:dyDescent="0.25">
      <c r="B228" s="354"/>
      <c r="C228" s="356"/>
      <c r="D228" s="356"/>
      <c r="E228" s="356"/>
      <c r="F228" s="356"/>
      <c r="G228" s="356"/>
      <c r="H228" s="356"/>
      <c r="I228" s="356"/>
      <c r="J228" s="356"/>
      <c r="K228" s="356"/>
      <c r="L228" s="356"/>
      <c r="M228" s="356"/>
      <c r="N228" s="356"/>
      <c r="O228" s="356"/>
      <c r="P228" s="356"/>
      <c r="Q228" s="356"/>
      <c r="R228" s="356"/>
      <c r="S228" s="356"/>
    </row>
    <row r="229" spans="2:19" ht="15.75" hidden="1" x14ac:dyDescent="0.25">
      <c r="B229" s="354"/>
      <c r="C229" s="356"/>
      <c r="D229" s="356"/>
      <c r="E229" s="356"/>
      <c r="F229" s="356"/>
      <c r="G229" s="356"/>
      <c r="H229" s="356"/>
      <c r="I229" s="356"/>
      <c r="J229" s="356"/>
      <c r="K229" s="356"/>
      <c r="L229" s="356"/>
      <c r="M229" s="356"/>
      <c r="N229" s="356"/>
      <c r="O229" s="356"/>
      <c r="P229" s="356"/>
      <c r="Q229" s="356"/>
      <c r="R229" s="356"/>
      <c r="S229" s="356"/>
    </row>
    <row r="230" spans="2:19" ht="15.75" hidden="1" x14ac:dyDescent="0.25">
      <c r="B230" s="354"/>
      <c r="C230" s="356"/>
      <c r="D230" s="356"/>
      <c r="E230" s="356"/>
      <c r="F230" s="356"/>
      <c r="G230" s="356"/>
      <c r="H230" s="356"/>
      <c r="I230" s="356"/>
      <c r="J230" s="356"/>
      <c r="K230" s="356"/>
      <c r="L230" s="356"/>
      <c r="M230" s="356"/>
      <c r="N230" s="356"/>
      <c r="O230" s="356"/>
      <c r="P230" s="356"/>
      <c r="Q230" s="356"/>
      <c r="R230" s="356"/>
      <c r="S230" s="356"/>
    </row>
    <row r="231" spans="2:19" ht="15.75" hidden="1" x14ac:dyDescent="0.25">
      <c r="B231" s="354"/>
      <c r="C231" s="356"/>
      <c r="D231" s="356"/>
      <c r="E231" s="356"/>
      <c r="F231" s="356"/>
      <c r="G231" s="356"/>
      <c r="H231" s="356"/>
      <c r="I231" s="356"/>
      <c r="J231" s="356"/>
      <c r="K231" s="356"/>
      <c r="L231" s="356"/>
      <c r="M231" s="356"/>
      <c r="N231" s="356"/>
      <c r="O231" s="356"/>
      <c r="P231" s="356"/>
      <c r="Q231" s="356"/>
      <c r="R231" s="356"/>
      <c r="S231" s="356"/>
    </row>
    <row r="232" spans="2:19" ht="15.75" hidden="1" x14ac:dyDescent="0.25">
      <c r="B232" s="354"/>
      <c r="C232" s="356"/>
      <c r="D232" s="356"/>
      <c r="E232" s="356"/>
      <c r="F232" s="356"/>
      <c r="G232" s="356"/>
      <c r="H232" s="356"/>
      <c r="I232" s="356"/>
      <c r="J232" s="356"/>
      <c r="K232" s="356"/>
      <c r="L232" s="356"/>
      <c r="M232" s="356"/>
      <c r="N232" s="356"/>
      <c r="O232" s="356"/>
      <c r="P232" s="356"/>
      <c r="Q232" s="356"/>
      <c r="R232" s="356"/>
      <c r="S232" s="356"/>
    </row>
    <row r="233" spans="2:19" ht="15.75" hidden="1" x14ac:dyDescent="0.25">
      <c r="B233" s="354"/>
      <c r="C233" s="356"/>
      <c r="D233" s="356"/>
      <c r="E233" s="356"/>
      <c r="F233" s="356"/>
      <c r="G233" s="356"/>
      <c r="H233" s="356"/>
      <c r="I233" s="356"/>
      <c r="J233" s="356"/>
      <c r="K233" s="356"/>
      <c r="L233" s="356"/>
      <c r="M233" s="356"/>
      <c r="N233" s="356"/>
      <c r="O233" s="356"/>
      <c r="P233" s="356"/>
      <c r="Q233" s="356"/>
      <c r="R233" s="356"/>
      <c r="S233" s="356"/>
    </row>
    <row r="234" spans="2:19" ht="15.75" hidden="1" x14ac:dyDescent="0.25">
      <c r="B234" s="354"/>
      <c r="C234" s="356"/>
      <c r="D234" s="356"/>
      <c r="E234" s="356"/>
      <c r="F234" s="356"/>
      <c r="G234" s="356"/>
      <c r="H234" s="356"/>
      <c r="I234" s="356"/>
      <c r="J234" s="356"/>
      <c r="K234" s="356"/>
      <c r="L234" s="356"/>
      <c r="M234" s="356"/>
      <c r="N234" s="356"/>
      <c r="O234" s="356"/>
      <c r="P234" s="356"/>
      <c r="Q234" s="356"/>
      <c r="R234" s="356"/>
      <c r="S234" s="356"/>
    </row>
    <row r="235" spans="2:19" ht="15.75" hidden="1" x14ac:dyDescent="0.25">
      <c r="B235" s="354"/>
      <c r="C235" s="356"/>
      <c r="D235" s="356"/>
      <c r="E235" s="356"/>
      <c r="F235" s="356"/>
      <c r="G235" s="356"/>
      <c r="H235" s="356"/>
      <c r="I235" s="356"/>
      <c r="J235" s="356"/>
      <c r="K235" s="356"/>
      <c r="L235" s="356"/>
      <c r="M235" s="356"/>
      <c r="N235" s="356"/>
      <c r="O235" s="356"/>
      <c r="P235" s="356"/>
      <c r="Q235" s="356"/>
      <c r="R235" s="356"/>
      <c r="S235" s="356"/>
    </row>
    <row r="236" spans="2:19" ht="15.75" hidden="1" x14ac:dyDescent="0.25">
      <c r="B236" s="354"/>
      <c r="C236" s="356"/>
      <c r="D236" s="356"/>
      <c r="E236" s="356"/>
      <c r="F236" s="356"/>
      <c r="G236" s="356"/>
      <c r="H236" s="356"/>
      <c r="I236" s="356"/>
      <c r="J236" s="356"/>
      <c r="K236" s="356"/>
      <c r="L236" s="356"/>
      <c r="M236" s="356"/>
      <c r="N236" s="356"/>
      <c r="O236" s="356"/>
      <c r="P236" s="356"/>
      <c r="Q236" s="356"/>
      <c r="R236" s="356"/>
      <c r="S236" s="356"/>
    </row>
    <row r="237" spans="2:19" hidden="1" x14ac:dyDescent="0.25"/>
    <row r="238" spans="2:19" hidden="1" x14ac:dyDescent="0.25"/>
    <row r="239" spans="2:19" hidden="1" x14ac:dyDescent="0.25"/>
    <row r="240" spans="2:19"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sheetData>
  <sheetProtection algorithmName="SHA-512" hashValue="8Ijn+Oxrpt8ImAG2DSDKPocjH/wS/WS8eCLdYOKPnQ3I+klefqrMy+TK8fCrwb1X2eCiOKe8UZ7K+ZC+CK9CTg==" saltValue="MEC+8e9xL9RWO/GPh9D1QA==" spinCount="100000" sheet="1" objects="1" scenarios="1"/>
  <mergeCells count="120">
    <mergeCell ref="G94:N94"/>
    <mergeCell ref="G75:N75"/>
    <mergeCell ref="G69:N69"/>
    <mergeCell ref="G78:N78"/>
    <mergeCell ref="G79:N79"/>
    <mergeCell ref="G80:N80"/>
    <mergeCell ref="G81:N81"/>
    <mergeCell ref="G82:N82"/>
    <mergeCell ref="G70:N70"/>
    <mergeCell ref="G72:N72"/>
    <mergeCell ref="G73:N73"/>
    <mergeCell ref="G74:N74"/>
    <mergeCell ref="G89:N89"/>
    <mergeCell ref="G86:N86"/>
    <mergeCell ref="G85:N85"/>
    <mergeCell ref="G88:N88"/>
    <mergeCell ref="C81:F81"/>
    <mergeCell ref="G56:N56"/>
    <mergeCell ref="G57:N57"/>
    <mergeCell ref="G60:N60"/>
    <mergeCell ref="G83:N83"/>
    <mergeCell ref="G84:N84"/>
    <mergeCell ref="G91:N91"/>
    <mergeCell ref="G92:N92"/>
    <mergeCell ref="G93:N93"/>
    <mergeCell ref="C77:F77"/>
    <mergeCell ref="G76:N76"/>
    <mergeCell ref="G71:N71"/>
    <mergeCell ref="C75:F75"/>
    <mergeCell ref="C71:F71"/>
    <mergeCell ref="C76:F76"/>
    <mergeCell ref="C69:F69"/>
    <mergeCell ref="C72:F72"/>
    <mergeCell ref="C73:F73"/>
    <mergeCell ref="C74:F74"/>
    <mergeCell ref="C70:F70"/>
    <mergeCell ref="C102:F102"/>
    <mergeCell ref="G90:N90"/>
    <mergeCell ref="G87:N87"/>
    <mergeCell ref="G77:N77"/>
    <mergeCell ref="C101:F101"/>
    <mergeCell ref="G102:N102"/>
    <mergeCell ref="G95:N95"/>
    <mergeCell ref="G96:N96"/>
    <mergeCell ref="G97:N97"/>
    <mergeCell ref="G98:N98"/>
    <mergeCell ref="G99:N99"/>
    <mergeCell ref="G100:N100"/>
    <mergeCell ref="G101:N101"/>
    <mergeCell ref="C100:F100"/>
    <mergeCell ref="C82:F82"/>
    <mergeCell ref="C78:F78"/>
    <mergeCell ref="C86:F86"/>
    <mergeCell ref="C79:F79"/>
    <mergeCell ref="C80:F80"/>
    <mergeCell ref="C99:F99"/>
    <mergeCell ref="C91:F91"/>
    <mergeCell ref="C92:F92"/>
    <mergeCell ref="C93:F93"/>
    <mergeCell ref="C94:F94"/>
    <mergeCell ref="C95:F95"/>
    <mergeCell ref="C97:F97"/>
    <mergeCell ref="C83:F83"/>
    <mergeCell ref="C84:F84"/>
    <mergeCell ref="C85:F85"/>
    <mergeCell ref="C88:F88"/>
    <mergeCell ref="C98:F98"/>
    <mergeCell ref="C87:F87"/>
    <mergeCell ref="C96:F96"/>
    <mergeCell ref="C89:F89"/>
    <mergeCell ref="C90:F90"/>
    <mergeCell ref="B5:D5"/>
    <mergeCell ref="B6:D6"/>
    <mergeCell ref="B7:D7"/>
    <mergeCell ref="G64:N64"/>
    <mergeCell ref="G65:N65"/>
    <mergeCell ref="G66:N66"/>
    <mergeCell ref="G61:N61"/>
    <mergeCell ref="E5:H5"/>
    <mergeCell ref="E6:H6"/>
    <mergeCell ref="E7:H7"/>
    <mergeCell ref="B52:F52"/>
    <mergeCell ref="G52:N52"/>
    <mergeCell ref="B53:F53"/>
    <mergeCell ref="B54:F54"/>
    <mergeCell ref="B55:F55"/>
    <mergeCell ref="B56:F56"/>
    <mergeCell ref="B57:F57"/>
    <mergeCell ref="B61:F61"/>
    <mergeCell ref="G63:N63"/>
    <mergeCell ref="G55:N55"/>
    <mergeCell ref="B37:D37"/>
    <mergeCell ref="B38:D38"/>
    <mergeCell ref="B49:N49"/>
    <mergeCell ref="B50:N50"/>
    <mergeCell ref="G53:N53"/>
    <mergeCell ref="G54:N54"/>
    <mergeCell ref="B60:F60"/>
    <mergeCell ref="G58:N58"/>
    <mergeCell ref="B58:F58"/>
    <mergeCell ref="B59:F59"/>
    <mergeCell ref="C63:F63"/>
    <mergeCell ref="G67:N67"/>
    <mergeCell ref="G68:N68"/>
    <mergeCell ref="C64:F64"/>
    <mergeCell ref="C65:F65"/>
    <mergeCell ref="C66:F66"/>
    <mergeCell ref="C67:F67"/>
    <mergeCell ref="C68:F68"/>
    <mergeCell ref="B41:M41"/>
    <mergeCell ref="B19:D19"/>
    <mergeCell ref="G19:I19"/>
    <mergeCell ref="B22:D22"/>
    <mergeCell ref="G22:I22"/>
    <mergeCell ref="B25:M25"/>
    <mergeCell ref="G37:I37"/>
    <mergeCell ref="G38:I38"/>
    <mergeCell ref="B29:D29"/>
    <mergeCell ref="G29:I29"/>
    <mergeCell ref="B33:M33"/>
  </mergeCells>
  <hyperlinks>
    <hyperlink ref="C64" location="'E-1 Passive Design'!A1" tooltip="E-1 Passive design" display="E-1 Passive design" xr:uid="{00000000-0004-0000-3E00-000000000000}"/>
    <hyperlink ref="C65" location="'E-2 Building Envelope'!A1" tooltip="E-2 Building Envelope" display="E-2 Building Envelope" xr:uid="{00000000-0004-0000-3E00-000001000000}"/>
    <hyperlink ref="E65" location="'E-2 Building Envelope'!A1" tooltip="E-2 Building Envelope" display="E-2 Building Envelope" xr:uid="{00000000-0004-0000-3E00-000002000000}"/>
    <hyperlink ref="C66" location="'E-3 Home cooling'!A1" tooltip="E-3 Home Cooling" display="E-3 Home Cooling" xr:uid="{00000000-0004-0000-3E00-000003000000}"/>
    <hyperlink ref="E66" location="'E-3 Home cooling'!A1" tooltip="E-3 Home Cooling" display="E-3 Home Cooling" xr:uid="{00000000-0004-0000-3E00-000004000000}"/>
    <hyperlink ref="C67" location="'E-4 Artificial Lighting'!A1" tooltip="E-4 Artificial Lighting" display="E-4 Artificial Lighting" xr:uid="{00000000-0004-0000-3E00-000005000000}"/>
    <hyperlink ref="E67" location="'E-4 Artificial Lighting'!A1" tooltip="E-4 Artificial Lighting" display="E-4 Artificial Lighting" xr:uid="{00000000-0004-0000-3E00-000006000000}"/>
    <hyperlink ref="C68" location="'E-5 Domestic water heating'!A1" tooltip="E-5 Domestic water heating" display="E-5 Domestic water heating" xr:uid="{00000000-0004-0000-3E00-000007000000}"/>
    <hyperlink ref="E68" location="'E-5 Domestic water heating'!A1" tooltip="E-5 Domestic water heating" display="E-5 Domestic water heating" xr:uid="{00000000-0004-0000-3E00-000008000000}"/>
    <hyperlink ref="C69" location="'E-6 Energy Efficient Appliances'!A1" tooltip="E-6 Energy Efficient Appliances" display="E-6 Energy Efficient Appliances" xr:uid="{00000000-0004-0000-3E00-000009000000}"/>
    <hyperlink ref="E69" location="'E-6 Energy Efficient Appliances'!A1" tooltip="E-6 Energy Efficient Appliances" display="E-6 Energy Efficient Appliances" xr:uid="{00000000-0004-0000-3E00-00000A000000}"/>
    <hyperlink ref="C70" location="'E-7 Energy Monitors '!A1" tooltip="E-7 Energy Monitors " display="E-7 Energy Monitors " xr:uid="{00000000-0004-0000-3E00-00000B000000}"/>
    <hyperlink ref="E70" location="'E-7 Energy Monitors '!A1" tooltip="E-7 Energy Monitors " display="E-7 Energy Monitors " xr:uid="{00000000-0004-0000-3E00-00000C000000}"/>
    <hyperlink ref="C71:D71" location="'Energy BPC'!A1" tooltip="Best Practice Credits" display="Best Practice Credits" xr:uid="{00000000-0004-0000-3E00-00000D000000}"/>
    <hyperlink ref="C72:D72" location="'W-1 Water Efficient Fixtures'!A1" tooltip="W-1 Water Efficient Fixtures" display="W-1 Water Efficient Fixtures" xr:uid="{00000000-0004-0000-3E00-00000E000000}"/>
    <hyperlink ref="E72:F72" location="'W-1 Water Efficient Fixtures'!A1" tooltip="W-1 Water Efficient Fixtures" display="W-1 Water Efficient Fixtures" xr:uid="{00000000-0004-0000-3E00-00000F000000}"/>
    <hyperlink ref="C73:D73" location="'W-2 Water Efficient Landscaping'!A1" tooltip="W-2 Water Efficient Landscaping" display="W-2 Water Efficient Landscaping" xr:uid="{00000000-0004-0000-3E00-000010000000}"/>
    <hyperlink ref="E73:F73" location="'W-2 Water Efficient Landscaping'!A1" tooltip="W-2 Water Efficient Landscaping" display="W-2 Water Efficient Landscaping" xr:uid="{00000000-0004-0000-3E00-000011000000}"/>
    <hyperlink ref="C74:D74" location="'W-3 Drinking Water '!A1" tooltip="W-3 Drinking Water " display="W-3 Drinking Water " xr:uid="{00000000-0004-0000-3E00-000012000000}"/>
    <hyperlink ref="E74:F74" location="'W-3 Drinking Water '!A1" tooltip="W-3 Drinking Water " display="W-3 Drinking Water " xr:uid="{00000000-0004-0000-3E00-000013000000}"/>
    <hyperlink ref="C75:D75" location="'Water BPC'!A1" tooltip="Best Practice Credits" display="Best Practice Credits" xr:uid="{00000000-0004-0000-3E00-000014000000}"/>
    <hyperlink ref="E75:F75" location="'Water BPC'!A1" tooltip="Best Practice Credits" display="Best Practice Credits" xr:uid="{00000000-0004-0000-3E00-000015000000}"/>
    <hyperlink ref="C76:D76" location="'M-1 Building Structure'!A1" tooltip="M-1 Building Structure" display="M-1 Building Structure" xr:uid="{00000000-0004-0000-3E00-000016000000}"/>
    <hyperlink ref="E76:F76" location="'M-1 Building Structure'!A1" tooltip="M-1 Building Structure" display="M-1 Building Structure" xr:uid="{00000000-0004-0000-3E00-000017000000}"/>
    <hyperlink ref="C77:D77" location="'M-2 Non-structural'!A1" tooltip="M-2 Non-structural walls &amp; ceilings" display="M-2 Non-structural walls &amp; ceilings" xr:uid="{00000000-0004-0000-3E00-000018000000}"/>
    <hyperlink ref="E77:F77" location="'M-2 Non-structural'!A1" tooltip="M-2 Non-structural walls &amp; ceilings" display="M-2 Non-structural walls &amp; ceilings" xr:uid="{00000000-0004-0000-3E00-000019000000}"/>
    <hyperlink ref="C78:D78" location="'M-3 Windows and doors'!A1" tooltip="M-3 Windows and doors" display="M-3 Windows and doors" xr:uid="{00000000-0004-0000-3E00-00001A000000}"/>
    <hyperlink ref="E78:F78" location="'M-3 Windows and doors'!A1" tooltip="M-3 Windows and doors" display="M-3 Windows and doors" xr:uid="{00000000-0004-0000-3E00-00001B000000}"/>
    <hyperlink ref="C79:D79" location="'M-4 Flooring materials'!A1" tooltip="M-4 Flooring materials" display="M-4 Flooring materials" xr:uid="{00000000-0004-0000-3E00-00001C000000}"/>
    <hyperlink ref="E79:F79" location="'M-4 Flooring materials'!A1" tooltip="M-4 Flooring materials" display="M-4 Flooring materials" xr:uid="{00000000-0004-0000-3E00-00001D000000}"/>
    <hyperlink ref="C80:D80" location="'M-5 Roofing materials'!A1" tooltip="M-5 Roofing materials" display="M-5 Roofing materials" xr:uid="{00000000-0004-0000-3E00-00001E000000}"/>
    <hyperlink ref="E80:F80" location="'M-5 Roofing materials'!A1" tooltip="M-5 Roofing materials" display="M-5 Roofing materials" xr:uid="{00000000-0004-0000-3E00-00001F000000}"/>
    <hyperlink ref="C81:D81" location="'M-6 Fitted Furniture'!A1" tooltip="M-6 Fitted Furniture" display="M-6 Fitted Furniture" xr:uid="{00000000-0004-0000-3E00-000020000000}"/>
    <hyperlink ref="E81:F81" location="'M-6 Fitted Furniture'!A1" tooltip="M-6 Fitted Furniture" display="M-6 Fitted Furniture" xr:uid="{00000000-0004-0000-3E00-000021000000}"/>
    <hyperlink ref="C82" location="'H-1 Fresh Air Supply'!A1" tooltip="H-1 Fresh Air Supply" display="H-1 Fresh Air Supply" xr:uid="{00000000-0004-0000-3E00-000022000000}"/>
    <hyperlink ref="E82" location="'H-1 Fresh Air Supply'!A1" tooltip="H-1 Fresh Air Supply" display="H-1 Fresh Air Supply" xr:uid="{00000000-0004-0000-3E00-000023000000}"/>
    <hyperlink ref="C83" location="'H-2 Ventilation in wet areas'!A1" tooltip="H-2 Ventilation in Wet Areas" display="H-2 Ventilation in Wet Areas" xr:uid="{00000000-0004-0000-3E00-000024000000}"/>
    <hyperlink ref="E83" location="'H-2 Ventilation in wet areas'!A1" tooltip="H-2 Ventilation in Wet Areas" display="H-2 Ventilation in Wet Areas" xr:uid="{00000000-0004-0000-3E00-000025000000}"/>
    <hyperlink ref="C84" location="'H-3 Hazardous Materials'!A1" tooltip="H-3 Hazardous Materials" display="H-3 Hazardous Materials" xr:uid="{00000000-0004-0000-3E00-000026000000}"/>
    <hyperlink ref="E84" location="'H-3 Hazardous Materials'!A1" tooltip="H-3 Hazardous Materials" display="H-3 Hazardous Materials" xr:uid="{00000000-0004-0000-3E00-000027000000}"/>
    <hyperlink ref="C85" location="'H-4 Daylighting'!A1" tooltip="H-4 Daylighting" display="H-4 Daylighting" xr:uid="{00000000-0004-0000-3E00-000028000000}"/>
    <hyperlink ref="E85" location="'H-4 Daylighting'!A1" tooltip="H-4 Daylighting" display="H-4 Daylighting" xr:uid="{00000000-0004-0000-3E00-000029000000}"/>
    <hyperlink ref="C87:D87" location="'H&amp;C BPC'!A1" tooltip="Best Practice Credits" display="Best Practice Credits" xr:uid="{00000000-0004-0000-3E00-00002A000000}"/>
    <hyperlink ref="E87:F87" location="'H&amp;C BPC'!A1" tooltip="Best Practice Credits" display="Best Practice Credits" xr:uid="{00000000-0004-0000-3E00-00002B000000}"/>
    <hyperlink ref="C88:D88" location="'LE-1 Site Selection'!A1" tooltip="LE-1 Site Selection" display="LE-1 Site Selection" xr:uid="{00000000-0004-0000-3E00-00002C000000}"/>
    <hyperlink ref="E88:F88" location="'LE-1 Site Selection'!A1" tooltip="LE-1 Site Selection" display="LE-1 Site Selection" xr:uid="{00000000-0004-0000-3E00-00002D000000}"/>
    <hyperlink ref="C89:D89" location="'LE-2 Site design'!A1" tooltip="LE-2 Site Design " display="LE-2 Site Design " xr:uid="{00000000-0004-0000-3E00-00002E000000}"/>
    <hyperlink ref="E89:F89" location="'LE-2 Site design'!A1" tooltip="LE-2 Site Design " display="LE-2 Site Design " xr:uid="{00000000-0004-0000-3E00-00002F000000}"/>
    <hyperlink ref="C90:D90" location="'LE-3 Vegetation'!A1" tooltip="LE-3 Vegetation" display="LE-3 Vegetation" xr:uid="{00000000-0004-0000-3E00-000030000000}"/>
    <hyperlink ref="E90:F90" location="'LE-3 Vegetation'!A1" tooltip="LE-3 Vegetation" display="LE-3 Vegetation" xr:uid="{00000000-0004-0000-3E00-000031000000}"/>
    <hyperlink ref="C91:D91" location="'LE-4 Heat Island Effect'!A1" tooltip="LE-4 Heat Island Effect" display="LE-4 Heat Island Effect" xr:uid="{00000000-0004-0000-3E00-000032000000}"/>
    <hyperlink ref="E91:F91" location="'LE-4 Heat Island Effect'!A1" tooltip="LE-4 Heat Island Effect" display="LE-4 Heat Island Effect" xr:uid="{00000000-0004-0000-3E00-000033000000}"/>
    <hyperlink ref="C92:D92" location="'LE-5 Storm Water Runoff'!A1" tooltip="LE-5 Storm Water Runoff " display="LE-5 Storm Water Runoff " xr:uid="{00000000-0004-0000-3E00-000034000000}"/>
    <hyperlink ref="E92:F92" location="'LE-5 Storm Water Runoff'!A1" tooltip="LE-5 Storm Water Runoff " display="LE-5 Storm Water Runoff " xr:uid="{00000000-0004-0000-3E00-000035000000}"/>
    <hyperlink ref="C93:D93" location="'LE-6 Flood Risk Mitigation'!A1" tooltip="LE-6 Flood Risk Mitigation" display="LE-6 Flood Risk Mitigation" xr:uid="{00000000-0004-0000-3E00-000036000000}"/>
    <hyperlink ref="E93:F93" location="'LE-6 Flood Risk Mitigation'!A1" tooltip="LE-6 Flood Risk Mitigation" display="LE-6 Flood Risk Mitigation" xr:uid="{00000000-0004-0000-3E00-000037000000}"/>
    <hyperlink ref="C94:D94" location="'LE-7 Refrigerants'!A1" tooltip="LE-7 Refrigerants" display="LE-7 Refrigerants" xr:uid="{00000000-0004-0000-3E00-000038000000}"/>
    <hyperlink ref="E94:F94" location="'LE-7 Refrigerants'!A1" tooltip="LE-7 Refrigerants" display="LE-7 Refrigerants" xr:uid="{00000000-0004-0000-3E00-000039000000}"/>
    <hyperlink ref="C95:D95" location="'LE-8 Waste Management'!A1" tooltip="LE-8 Waste Management" display="LE-8 Waste Management" xr:uid="{00000000-0004-0000-3E00-00003A000000}"/>
    <hyperlink ref="E95:F95" location="'LE-8 Waste Management'!A1" tooltip="LE-8 Waste Management" display="LE-8 Waste Management" xr:uid="{00000000-0004-0000-3E00-00003B000000}"/>
    <hyperlink ref="C96:D96" location="'LE BPC'!A1" tooltip="Best Practice Credit" display="Best Practice Credit" xr:uid="{00000000-0004-0000-3E00-00003C000000}"/>
    <hyperlink ref="E96:F96" location="'LE BPC'!A1" tooltip="Best Practice Credit" display="Best Practice Credit" xr:uid="{00000000-0004-0000-3E00-00003D000000}"/>
    <hyperlink ref="C97" location="'CM-1 Design Stage'!A1" tooltip="CM-1 Design Stage" display="CM-1 Design Stage" xr:uid="{00000000-0004-0000-3E00-00003E000000}"/>
    <hyperlink ref="E97" location="'CM-1 Design Stage'!A1" tooltip="CM-1 Design Stage" display="CM-1 Design Stage" xr:uid="{00000000-0004-0000-3E00-00003F000000}"/>
    <hyperlink ref="C98" location="'CM-2 Construction Management'!A1" tooltip="CM-2 Construction Management" display="CM-2 Construction Management" xr:uid="{00000000-0004-0000-3E00-000040000000}"/>
    <hyperlink ref="E98" location="'CM-2 Construction Management'!A1" tooltip="CM-2 Construction Management" display="CM-2 Construction Management" xr:uid="{00000000-0004-0000-3E00-000041000000}"/>
    <hyperlink ref="C99" location="'CM-3 Operational Management'!A1" tooltip="CM-3 Operational Management" display="CM-3 Operational Management" xr:uid="{00000000-0004-0000-3E00-000042000000}"/>
    <hyperlink ref="E99" location="'CM-3 Operational Management'!A1" tooltip="CM-3 Operational Management" display="CM-3 Operational Management" xr:uid="{00000000-0004-0000-3E00-000043000000}"/>
    <hyperlink ref="C100:D100" location="'CM BPC'!A1" tooltip="Best Practice Credits" display="Best Practice Credits" xr:uid="{00000000-0004-0000-3E00-000044000000}"/>
    <hyperlink ref="E100:F100" location="'CM BPC'!A1" tooltip="Best Practice Credits" display="Best Practice Credits" xr:uid="{00000000-0004-0000-3E00-000045000000}"/>
    <hyperlink ref="B53" location="'E-1 Passive Design'!A1" tooltip="E-1 Passive design" display="E-1 Passive design" xr:uid="{00000000-0004-0000-3E00-000046000000}"/>
    <hyperlink ref="B53:F53" location="Introduction!A1" tooltip="Introduction" display="Introduction" xr:uid="{00000000-0004-0000-3E00-000047000000}"/>
    <hyperlink ref="B54" location="'E-1 Passive Design'!A1" tooltip="E-1 Passive design" display="E-1 Passive design" xr:uid="{00000000-0004-0000-3E00-000048000000}"/>
    <hyperlink ref="B54:F54" location="Instructions!A1" tooltip="Instructions" display="Instructions" xr:uid="{00000000-0004-0000-3E00-000049000000}"/>
    <hyperlink ref="B55" location="'E-1 Passive Design'!A1" tooltip="E-1 Passive design" display="E-1 Passive design" xr:uid="{00000000-0004-0000-3E00-00004A000000}"/>
    <hyperlink ref="B55:F55" location="'LOTUS Homes Scorecard'!A1" tooltip="Scorecard" display="LOTUS Homes Scorecard" xr:uid="{00000000-0004-0000-3E00-00004B000000}"/>
    <hyperlink ref="B56" location="'E-1 Passive Design'!A1" tooltip="E-1 Passive design" display="E-1 Passive design" xr:uid="{00000000-0004-0000-3E00-00004C000000}"/>
    <hyperlink ref="B56:F56" location="'Graphical Results'!A1" tooltip="Graphical Results" display="Graphical Results" xr:uid="{00000000-0004-0000-3E00-00004D000000}"/>
    <hyperlink ref="B57" location="'E-1 Passive Design'!A1" tooltip="E-1 Passive design" display="E-1 Passive design" xr:uid="{00000000-0004-0000-3E00-00004E000000}"/>
    <hyperlink ref="B57:F57" location="'Project information'!A1" tooltip="Project Information" display="Project Information" xr:uid="{00000000-0004-0000-3E00-00004F000000}"/>
    <hyperlink ref="B61:F61" location="Resources!A1" tooltip="Resources" display="Resources" xr:uid="{00000000-0004-0000-3E00-000050000000}"/>
    <hyperlink ref="B60" location="'E-1 Passive Design'!A1" tooltip="E-1 Passive design" display="E-1 Passive design" xr:uid="{00000000-0004-0000-3E00-000051000000}"/>
    <hyperlink ref="B60:F60" location="Energy!A1" tooltip="Categories" display="Categories" xr:uid="{00000000-0004-0000-3E00-000052000000}"/>
    <hyperlink ref="C86" location="'H-4 Daylighting'!A1" tooltip="H-4 Daylighting" display="H-4 Daylighting" xr:uid="{00000000-0004-0000-3E00-000053000000}"/>
    <hyperlink ref="E86" location="'H-4 Daylighting'!A1" tooltip="H-4 Daylighting" display="H-4 Daylighting" xr:uid="{00000000-0004-0000-3E00-000054000000}"/>
    <hyperlink ref="C86:F86" location="'H-5 Acoustic Comfort'!A1" tooltip="Acoustic Comfort" display="Acoustic Comfort" xr:uid="{00000000-0004-0000-3E00-000055000000}"/>
    <hyperlink ref="C101:F101" location="'Inn-1 Exceptional Performance '!A1" display="Exceptional Performance Enhancement" xr:uid="{00000000-0004-0000-3E00-000056000000}"/>
    <hyperlink ref="C102:F102" location="'Inn-2 Innovative Techniques'!A1" display="Innovative techniques/initiative" xr:uid="{00000000-0004-0000-3E00-000057000000}"/>
    <hyperlink ref="C81:F81" location="'M-6 Furniture'!A1" tooltip="M-6 Furniture" display="Furniture" xr:uid="{00000000-0004-0000-3E00-000058000000}"/>
    <hyperlink ref="C68:F68" location="'E-5 Water heating'!A1" tooltip="E-5 Water heating" display="Water heating" xr:uid="{00000000-0004-0000-3E00-000059000000}"/>
    <hyperlink ref="C77:F77" location="'M-2 Non-structural walls'!A1" tooltip="M-2 Non-structural walls" display="Non-structural walls" xr:uid="{00000000-0004-0000-3E00-00005A000000}"/>
    <hyperlink ref="B58" location="'E-1 Passive Design'!A1" tooltip="E-1 Passive design" display="E-1 Passive design" xr:uid="{00000000-0004-0000-3E00-00005B000000}"/>
    <hyperlink ref="B58:F58" location="'Pre-assessment checklist'!A1" tooltip="Pre-assessment checklist" display="Pre-assessment checklist" xr:uid="{00000000-0004-0000-3E00-00005C000000}"/>
    <hyperlink ref="B59" location="'E-1 Passive Design'!A1" tooltip="E-1 Passive design" display="E-1 Passive design" xr:uid="{00000000-0004-0000-3E00-00005D000000}"/>
    <hyperlink ref="B59:F59" location="'Full stage checklist '!A1" tooltip="Full stage checklist " display="Full stage checklist " xr:uid="{00000000-0004-0000-3E00-00005E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Check Box 1">
              <controlPr defaultSize="0" autoFill="0" autoLine="0" autoPict="0">
                <anchor moveWithCells="1">
                  <from>
                    <xdr:col>4</xdr:col>
                    <xdr:colOff>190500</xdr:colOff>
                    <xdr:row>35</xdr:row>
                    <xdr:rowOff>171450</xdr:rowOff>
                  </from>
                  <to>
                    <xdr:col>4</xdr:col>
                    <xdr:colOff>495300</xdr:colOff>
                    <xdr:row>37</xdr:row>
                    <xdr:rowOff>0</xdr:rowOff>
                  </to>
                </anchor>
              </controlPr>
            </control>
          </mc:Choice>
        </mc:AlternateContent>
        <mc:AlternateContent xmlns:mc="http://schemas.openxmlformats.org/markup-compatibility/2006">
          <mc:Choice Requires="x14">
            <control shapeId="167939" r:id="rId4" name="Check Box 3">
              <controlPr defaultSize="0" autoFill="0" autoLine="0" autoPict="0">
                <anchor moveWithCells="1">
                  <from>
                    <xdr:col>4</xdr:col>
                    <xdr:colOff>190500</xdr:colOff>
                    <xdr:row>37</xdr:row>
                    <xdr:rowOff>0</xdr:rowOff>
                  </from>
                  <to>
                    <xdr:col>4</xdr:col>
                    <xdr:colOff>495300</xdr:colOff>
                    <xdr:row>38</xdr:row>
                    <xdr:rowOff>19050</xdr:rowOff>
                  </to>
                </anchor>
              </controlPr>
            </control>
          </mc:Choice>
        </mc:AlternateContent>
        <mc:AlternateContent xmlns:mc="http://schemas.openxmlformats.org/markup-compatibility/2006">
          <mc:Choice Requires="x14">
            <control shapeId="167943" r:id="rId5" name="Check Box 7">
              <controlPr defaultSize="0" autoFill="0" autoLine="0" autoPict="0">
                <anchor moveWithCells="1">
                  <from>
                    <xdr:col>9</xdr:col>
                    <xdr:colOff>190500</xdr:colOff>
                    <xdr:row>35</xdr:row>
                    <xdr:rowOff>171450</xdr:rowOff>
                  </from>
                  <to>
                    <xdr:col>9</xdr:col>
                    <xdr:colOff>495300</xdr:colOff>
                    <xdr:row>37</xdr:row>
                    <xdr:rowOff>0</xdr:rowOff>
                  </to>
                </anchor>
              </controlPr>
            </control>
          </mc:Choice>
        </mc:AlternateContent>
        <mc:AlternateContent xmlns:mc="http://schemas.openxmlformats.org/markup-compatibility/2006">
          <mc:Choice Requires="x14">
            <control shapeId="167944" r:id="rId6" name="Check Box 8">
              <controlPr defaultSize="0" autoFill="0" autoLine="0" autoPict="0">
                <anchor moveWithCells="1">
                  <from>
                    <xdr:col>9</xdr:col>
                    <xdr:colOff>190500</xdr:colOff>
                    <xdr:row>37</xdr:row>
                    <xdr:rowOff>0</xdr:rowOff>
                  </from>
                  <to>
                    <xdr:col>9</xdr:col>
                    <xdr:colOff>495300</xdr:colOff>
                    <xdr:row>38</xdr:row>
                    <xdr:rowOff>19050</xdr:rowOff>
                  </to>
                </anchor>
              </controlPr>
            </control>
          </mc:Choice>
        </mc:AlternateContent>
        <mc:AlternateContent xmlns:mc="http://schemas.openxmlformats.org/markup-compatibility/2006">
          <mc:Choice Requires="x14">
            <control shapeId="167947" r:id="rId7" name="Check Box 11">
              <controlPr defaultSize="0" autoFill="0" autoLine="0" autoPict="0">
                <anchor moveWithCells="1">
                  <from>
                    <xdr:col>4</xdr:col>
                    <xdr:colOff>190500</xdr:colOff>
                    <xdr:row>27</xdr:row>
                    <xdr:rowOff>171450</xdr:rowOff>
                  </from>
                  <to>
                    <xdr:col>4</xdr:col>
                    <xdr:colOff>495300</xdr:colOff>
                    <xdr:row>29</xdr:row>
                    <xdr:rowOff>9525</xdr:rowOff>
                  </to>
                </anchor>
              </controlPr>
            </control>
          </mc:Choice>
        </mc:AlternateContent>
        <mc:AlternateContent xmlns:mc="http://schemas.openxmlformats.org/markup-compatibility/2006">
          <mc:Choice Requires="x14">
            <control shapeId="167948" r:id="rId8" name="Check Box 12">
              <controlPr defaultSize="0" autoFill="0" autoLine="0" autoPict="0">
                <anchor moveWithCells="1">
                  <from>
                    <xdr:col>9</xdr:col>
                    <xdr:colOff>190500</xdr:colOff>
                    <xdr:row>27</xdr:row>
                    <xdr:rowOff>171450</xdr:rowOff>
                  </from>
                  <to>
                    <xdr:col>9</xdr:col>
                    <xdr:colOff>495300</xdr:colOff>
                    <xdr:row>29</xdr:row>
                    <xdr:rowOff>9525</xdr:rowOff>
                  </to>
                </anchor>
              </controlPr>
            </control>
          </mc:Choice>
        </mc:AlternateContent>
        <mc:AlternateContent xmlns:mc="http://schemas.openxmlformats.org/markup-compatibility/2006">
          <mc:Choice Requires="x14">
            <control shapeId="167953" r:id="rId9" name="Check Box 17">
              <controlPr defaultSize="0" autoFill="0" autoLine="0" autoPict="0">
                <anchor moveWithCells="1">
                  <from>
                    <xdr:col>4</xdr:col>
                    <xdr:colOff>190500</xdr:colOff>
                    <xdr:row>17</xdr:row>
                    <xdr:rowOff>171450</xdr:rowOff>
                  </from>
                  <to>
                    <xdr:col>4</xdr:col>
                    <xdr:colOff>495300</xdr:colOff>
                    <xdr:row>19</xdr:row>
                    <xdr:rowOff>9525</xdr:rowOff>
                  </to>
                </anchor>
              </controlPr>
            </control>
          </mc:Choice>
        </mc:AlternateContent>
        <mc:AlternateContent xmlns:mc="http://schemas.openxmlformats.org/markup-compatibility/2006">
          <mc:Choice Requires="x14">
            <control shapeId="167954" r:id="rId10" name="Check Box 18">
              <controlPr defaultSize="0" autoFill="0" autoLine="0" autoPict="0">
                <anchor moveWithCells="1">
                  <from>
                    <xdr:col>9</xdr:col>
                    <xdr:colOff>190500</xdr:colOff>
                    <xdr:row>17</xdr:row>
                    <xdr:rowOff>171450</xdr:rowOff>
                  </from>
                  <to>
                    <xdr:col>9</xdr:col>
                    <xdr:colOff>495300</xdr:colOff>
                    <xdr:row>19</xdr:row>
                    <xdr:rowOff>9525</xdr:rowOff>
                  </to>
                </anchor>
              </controlPr>
            </control>
          </mc:Choice>
        </mc:AlternateContent>
        <mc:AlternateContent xmlns:mc="http://schemas.openxmlformats.org/markup-compatibility/2006">
          <mc:Choice Requires="x14">
            <control shapeId="167955" r:id="rId11" name="Check Box 19">
              <controlPr defaultSize="0" autoFill="0" autoLine="0" autoPict="0">
                <anchor moveWithCells="1">
                  <from>
                    <xdr:col>4</xdr:col>
                    <xdr:colOff>190500</xdr:colOff>
                    <xdr:row>20</xdr:row>
                    <xdr:rowOff>171450</xdr:rowOff>
                  </from>
                  <to>
                    <xdr:col>4</xdr:col>
                    <xdr:colOff>495300</xdr:colOff>
                    <xdr:row>22</xdr:row>
                    <xdr:rowOff>9525</xdr:rowOff>
                  </to>
                </anchor>
              </controlPr>
            </control>
          </mc:Choice>
        </mc:AlternateContent>
        <mc:AlternateContent xmlns:mc="http://schemas.openxmlformats.org/markup-compatibility/2006">
          <mc:Choice Requires="x14">
            <control shapeId="167956" r:id="rId12" name="Check Box 20">
              <controlPr defaultSize="0" autoFill="0" autoLine="0" autoPict="0">
                <anchor moveWithCells="1">
                  <from>
                    <xdr:col>9</xdr:col>
                    <xdr:colOff>190500</xdr:colOff>
                    <xdr:row>20</xdr:row>
                    <xdr:rowOff>171450</xdr:rowOff>
                  </from>
                  <to>
                    <xdr:col>9</xdr:col>
                    <xdr:colOff>495300</xdr:colOff>
                    <xdr:row>22</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6"/>
  <dimension ref="A1:L100"/>
  <sheetViews>
    <sheetView showRowColHeaders="0" zoomScaleNormal="100" workbookViewId="0">
      <selection activeCell="E4" sqref="E4"/>
    </sheetView>
  </sheetViews>
  <sheetFormatPr defaultColWidth="0" defaultRowHeight="15" customHeight="1" zeroHeight="1" x14ac:dyDescent="0.25"/>
  <cols>
    <col min="1" max="1" width="4.7109375" style="38" customWidth="1"/>
    <col min="2" max="3" width="16.7109375" style="38" customWidth="1"/>
    <col min="4" max="4" width="14" style="38" customWidth="1"/>
    <col min="5" max="5" width="7.85546875" style="38" customWidth="1"/>
    <col min="6" max="6" width="8" style="38" customWidth="1"/>
    <col min="7" max="7" width="14" style="38" customWidth="1"/>
    <col min="8" max="8" width="4.140625" style="38" customWidth="1"/>
    <col min="9" max="10" width="9.140625" style="38" hidden="1" customWidth="1"/>
    <col min="11" max="12" width="0" style="38" hidden="1" customWidth="1"/>
    <col min="13" max="16384" width="9.140625" style="38" hidden="1"/>
  </cols>
  <sheetData>
    <row r="1" spans="1:10" ht="36" customHeight="1" x14ac:dyDescent="0.5">
      <c r="A1" s="1419" t="s">
        <v>2320</v>
      </c>
      <c r="B1" s="1419"/>
      <c r="C1" s="1419"/>
      <c r="D1" s="1419"/>
      <c r="E1" s="1419"/>
      <c r="F1" s="1419"/>
      <c r="G1" s="825"/>
      <c r="H1" s="37"/>
      <c r="I1" s="37"/>
      <c r="J1" s="37"/>
    </row>
    <row r="2" spans="1:10" ht="30" customHeight="1" x14ac:dyDescent="0.25">
      <c r="A2" s="826"/>
      <c r="B2" s="37"/>
      <c r="C2" s="37"/>
      <c r="D2" s="37"/>
      <c r="E2" s="37"/>
      <c r="F2" s="37"/>
      <c r="G2" s="37"/>
      <c r="H2" s="37"/>
      <c r="I2" s="37"/>
      <c r="J2" s="37"/>
    </row>
    <row r="3" spans="1:10" ht="27" customHeight="1" x14ac:dyDescent="0.25">
      <c r="A3" s="1418" t="s">
        <v>2358</v>
      </c>
      <c r="B3" s="1418"/>
      <c r="C3" s="1418"/>
      <c r="D3" s="1418"/>
      <c r="E3" s="1418"/>
      <c r="F3" s="1418"/>
      <c r="G3" s="37"/>
      <c r="H3" s="37"/>
      <c r="I3" s="37"/>
      <c r="J3" s="37"/>
    </row>
    <row r="4" spans="1:10" ht="27" customHeight="1" thickBot="1" x14ac:dyDescent="0.3">
      <c r="A4" s="37"/>
      <c r="B4" s="37"/>
      <c r="C4" s="37"/>
      <c r="D4" s="37"/>
      <c r="E4" s="37"/>
      <c r="F4" s="37"/>
      <c r="G4" s="37"/>
      <c r="H4" s="37"/>
      <c r="I4" s="37"/>
      <c r="J4" s="37"/>
    </row>
    <row r="5" spans="1:10" ht="27" customHeight="1" thickBot="1" x14ac:dyDescent="0.3">
      <c r="A5" s="37"/>
      <c r="B5" s="1454" t="s">
        <v>1439</v>
      </c>
      <c r="C5" s="1455"/>
      <c r="D5" s="1455"/>
      <c r="E5" s="1455"/>
      <c r="F5" s="1455"/>
      <c r="G5" s="1456"/>
      <c r="H5" s="37"/>
      <c r="I5" s="37"/>
      <c r="J5" s="37"/>
    </row>
    <row r="6" spans="1:10" ht="27" customHeight="1" x14ac:dyDescent="0.25">
      <c r="A6" s="37"/>
      <c r="B6" s="1448" t="s">
        <v>1440</v>
      </c>
      <c r="C6" s="1505"/>
      <c r="D6" s="1471"/>
      <c r="E6" s="1471"/>
      <c r="F6" s="1471"/>
      <c r="G6" s="1472"/>
      <c r="H6" s="37"/>
      <c r="I6" s="37"/>
      <c r="J6" s="37"/>
    </row>
    <row r="7" spans="1:10" ht="36" customHeight="1" x14ac:dyDescent="0.25">
      <c r="A7" s="37"/>
      <c r="B7" s="1506" t="s">
        <v>1441</v>
      </c>
      <c r="C7" s="1507"/>
      <c r="D7" s="1494"/>
      <c r="E7" s="1494"/>
      <c r="F7" s="1494"/>
      <c r="G7" s="1495"/>
      <c r="H7" s="37"/>
      <c r="I7" s="37"/>
      <c r="J7" s="37"/>
    </row>
    <row r="8" spans="1:10" ht="27" customHeight="1" x14ac:dyDescent="0.25">
      <c r="A8" s="37"/>
      <c r="B8" s="1473" t="s">
        <v>1442</v>
      </c>
      <c r="C8" s="1474"/>
      <c r="D8" s="1502"/>
      <c r="E8" s="1503"/>
      <c r="F8" s="1503"/>
      <c r="G8" s="1504"/>
      <c r="H8" s="37"/>
      <c r="I8" s="37"/>
      <c r="J8" s="37"/>
    </row>
    <row r="9" spans="1:10" ht="24" customHeight="1" x14ac:dyDescent="0.25">
      <c r="A9" s="37"/>
      <c r="B9" s="1465" t="s">
        <v>1443</v>
      </c>
      <c r="C9" s="1499"/>
      <c r="D9" s="1420"/>
      <c r="E9" s="1421"/>
      <c r="F9" s="1421"/>
      <c r="G9" s="1422"/>
      <c r="H9" s="37"/>
      <c r="I9" s="37"/>
      <c r="J9" s="37"/>
    </row>
    <row r="10" spans="1:10" ht="24" customHeight="1" x14ac:dyDescent="0.25">
      <c r="A10" s="37"/>
      <c r="B10" s="1477"/>
      <c r="C10" s="1478"/>
      <c r="D10" s="1423"/>
      <c r="E10" s="1424"/>
      <c r="F10" s="1424"/>
      <c r="G10" s="1425"/>
      <c r="H10" s="37"/>
      <c r="I10" s="37"/>
      <c r="J10" s="37"/>
    </row>
    <row r="11" spans="1:10" ht="21" customHeight="1" x14ac:dyDescent="0.25">
      <c r="A11" s="37"/>
      <c r="B11" s="1465" t="s">
        <v>1469</v>
      </c>
      <c r="C11" s="1499"/>
      <c r="D11" s="1500"/>
      <c r="E11" s="1491"/>
      <c r="F11" s="1491"/>
      <c r="G11" s="1492"/>
      <c r="H11" s="37"/>
      <c r="I11" s="37"/>
      <c r="J11" s="37"/>
    </row>
    <row r="12" spans="1:10" ht="21" customHeight="1" x14ac:dyDescent="0.25">
      <c r="A12" s="37"/>
      <c r="B12" s="1477"/>
      <c r="C12" s="1478"/>
      <c r="D12" s="1501"/>
      <c r="E12" s="1497"/>
      <c r="F12" s="1497"/>
      <c r="G12" s="1498"/>
      <c r="H12" s="37"/>
      <c r="I12" s="37"/>
      <c r="J12" s="37"/>
    </row>
    <row r="13" spans="1:10" ht="27" customHeight="1" x14ac:dyDescent="0.25">
      <c r="A13" s="37"/>
      <c r="B13" s="1477" t="s">
        <v>1445</v>
      </c>
      <c r="C13" s="1478"/>
      <c r="D13" s="1485"/>
      <c r="E13" s="1486"/>
      <c r="F13" s="1486"/>
      <c r="G13" s="1487"/>
      <c r="H13" s="37"/>
      <c r="I13" s="37"/>
      <c r="J13" s="37"/>
    </row>
    <row r="14" spans="1:10" ht="27" customHeight="1" x14ac:dyDescent="0.25">
      <c r="A14" s="37"/>
      <c r="B14" s="1473" t="s">
        <v>1558</v>
      </c>
      <c r="C14" s="1474"/>
      <c r="D14" s="1485"/>
      <c r="E14" s="1486"/>
      <c r="F14" s="1486"/>
      <c r="G14" s="1487"/>
      <c r="H14" s="37"/>
      <c r="I14" s="37"/>
      <c r="J14" s="37"/>
    </row>
    <row r="15" spans="1:10" ht="33" customHeight="1" x14ac:dyDescent="0.25">
      <c r="A15" s="37"/>
      <c r="B15" s="1473" t="s">
        <v>1444</v>
      </c>
      <c r="C15" s="1488"/>
      <c r="D15" s="1488"/>
      <c r="E15" s="1488"/>
      <c r="F15" s="1488"/>
      <c r="G15" s="1489"/>
      <c r="H15" s="37"/>
      <c r="I15" s="37"/>
      <c r="J15" s="37"/>
    </row>
    <row r="16" spans="1:10" x14ac:dyDescent="0.25">
      <c r="A16" s="37"/>
      <c r="B16" s="1490"/>
      <c r="C16" s="1491"/>
      <c r="D16" s="1491"/>
      <c r="E16" s="1491"/>
      <c r="F16" s="1491"/>
      <c r="G16" s="1492"/>
      <c r="H16" s="37"/>
      <c r="I16" s="37"/>
      <c r="J16" s="37"/>
    </row>
    <row r="17" spans="1:10" x14ac:dyDescent="0.25">
      <c r="A17" s="37"/>
      <c r="B17" s="1493"/>
      <c r="C17" s="1494"/>
      <c r="D17" s="1494"/>
      <c r="E17" s="1494"/>
      <c r="F17" s="1494"/>
      <c r="G17" s="1495"/>
      <c r="H17" s="37"/>
      <c r="I17" s="37"/>
      <c r="J17" s="37"/>
    </row>
    <row r="18" spans="1:10" x14ac:dyDescent="0.25">
      <c r="A18" s="37"/>
      <c r="B18" s="1493"/>
      <c r="C18" s="1494"/>
      <c r="D18" s="1494"/>
      <c r="E18" s="1494"/>
      <c r="F18" s="1494"/>
      <c r="G18" s="1495"/>
      <c r="H18" s="37"/>
      <c r="I18" s="37"/>
      <c r="J18" s="37"/>
    </row>
    <row r="19" spans="1:10" x14ac:dyDescent="0.25">
      <c r="A19" s="37"/>
      <c r="B19" s="1493"/>
      <c r="C19" s="1494"/>
      <c r="D19" s="1494"/>
      <c r="E19" s="1494"/>
      <c r="F19" s="1494"/>
      <c r="G19" s="1495"/>
      <c r="H19" s="37"/>
      <c r="I19" s="37"/>
      <c r="J19" s="37"/>
    </row>
    <row r="20" spans="1:10" x14ac:dyDescent="0.25">
      <c r="A20" s="37"/>
      <c r="B20" s="1493"/>
      <c r="C20" s="1494"/>
      <c r="D20" s="1494"/>
      <c r="E20" s="1494"/>
      <c r="F20" s="1494"/>
      <c r="G20" s="1495"/>
      <c r="H20" s="37"/>
      <c r="I20" s="37"/>
      <c r="J20" s="37"/>
    </row>
    <row r="21" spans="1:10" x14ac:dyDescent="0.25">
      <c r="A21" s="37"/>
      <c r="B21" s="1493"/>
      <c r="C21" s="1494"/>
      <c r="D21" s="1494"/>
      <c r="E21" s="1494"/>
      <c r="F21" s="1494"/>
      <c r="G21" s="1495"/>
      <c r="H21" s="37"/>
      <c r="I21" s="37"/>
      <c r="J21" s="37"/>
    </row>
    <row r="22" spans="1:10" x14ac:dyDescent="0.25">
      <c r="A22" s="37"/>
      <c r="B22" s="1493"/>
      <c r="C22" s="1494"/>
      <c r="D22" s="1494"/>
      <c r="E22" s="1494"/>
      <c r="F22" s="1494"/>
      <c r="G22" s="1495"/>
      <c r="H22" s="37"/>
      <c r="I22" s="37"/>
      <c r="J22" s="37"/>
    </row>
    <row r="23" spans="1:10" x14ac:dyDescent="0.25">
      <c r="A23" s="37"/>
      <c r="B23" s="1496"/>
      <c r="C23" s="1497"/>
      <c r="D23" s="1497"/>
      <c r="E23" s="1497"/>
      <c r="F23" s="1497"/>
      <c r="G23" s="1498"/>
      <c r="H23" s="37"/>
      <c r="I23" s="37"/>
      <c r="J23" s="37"/>
    </row>
    <row r="24" spans="1:10" ht="27" customHeight="1" x14ac:dyDescent="0.25">
      <c r="A24" s="37"/>
      <c r="B24" s="1473" t="s">
        <v>1446</v>
      </c>
      <c r="C24" s="1474"/>
      <c r="D24" s="1475"/>
      <c r="E24" s="1475"/>
      <c r="F24" s="1475"/>
      <c r="G24" s="1476"/>
      <c r="H24" s="37"/>
      <c r="I24" s="37"/>
      <c r="J24" s="37"/>
    </row>
    <row r="25" spans="1:10" ht="27" customHeight="1" x14ac:dyDescent="0.25">
      <c r="A25" s="37"/>
      <c r="B25" s="1477" t="s">
        <v>1447</v>
      </c>
      <c r="C25" s="1478"/>
      <c r="D25" s="1479"/>
      <c r="E25" s="1480"/>
      <c r="F25" s="1480"/>
      <c r="G25" s="1481"/>
      <c r="H25" s="37"/>
      <c r="I25" s="37"/>
      <c r="J25" s="37"/>
    </row>
    <row r="26" spans="1:10" ht="27" customHeight="1" x14ac:dyDescent="0.25">
      <c r="A26" s="37"/>
      <c r="B26" s="1473" t="s">
        <v>2321</v>
      </c>
      <c r="C26" s="1474"/>
      <c r="D26" s="1482" t="s">
        <v>124</v>
      </c>
      <c r="E26" s="1483"/>
      <c r="F26" s="1483"/>
      <c r="G26" s="1484"/>
      <c r="H26" s="37"/>
      <c r="I26" s="37"/>
      <c r="J26" s="37"/>
    </row>
    <row r="27" spans="1:10" ht="27" customHeight="1" thickBot="1" x14ac:dyDescent="0.3">
      <c r="A27" s="37"/>
      <c r="B27" s="1465" t="s">
        <v>1448</v>
      </c>
      <c r="C27" s="1466"/>
      <c r="D27" s="1467" t="s">
        <v>124</v>
      </c>
      <c r="E27" s="1468"/>
      <c r="F27" s="1468"/>
      <c r="G27" s="1469"/>
      <c r="H27" s="37"/>
      <c r="I27" s="37"/>
      <c r="J27" s="37"/>
    </row>
    <row r="28" spans="1:10" ht="21" customHeight="1" thickBot="1" x14ac:dyDescent="0.3">
      <c r="A28" s="37"/>
      <c r="B28" s="37"/>
      <c r="C28" s="37"/>
      <c r="D28" s="37"/>
      <c r="E28" s="37"/>
      <c r="F28" s="37"/>
      <c r="G28" s="37"/>
      <c r="H28" s="37"/>
      <c r="I28" s="37"/>
      <c r="J28" s="37"/>
    </row>
    <row r="29" spans="1:10" ht="24" customHeight="1" thickBot="1" x14ac:dyDescent="0.3">
      <c r="A29" s="37"/>
      <c r="B29" s="1454" t="s">
        <v>1449</v>
      </c>
      <c r="C29" s="1455"/>
      <c r="D29" s="1455"/>
      <c r="E29" s="1455"/>
      <c r="F29" s="1455"/>
      <c r="G29" s="1456"/>
      <c r="H29" s="37"/>
      <c r="I29" s="37"/>
      <c r="J29" s="37"/>
    </row>
    <row r="30" spans="1:10" ht="21" customHeight="1" x14ac:dyDescent="0.25">
      <c r="A30" s="37"/>
      <c r="B30" s="1448" t="s">
        <v>249</v>
      </c>
      <c r="C30" s="1449"/>
      <c r="D30" s="1470"/>
      <c r="E30" s="1471"/>
      <c r="F30" s="1471"/>
      <c r="G30" s="1472"/>
      <c r="H30" s="37"/>
      <c r="I30" s="37"/>
      <c r="J30" s="37"/>
    </row>
    <row r="31" spans="1:10" ht="33" customHeight="1" x14ac:dyDescent="0.25">
      <c r="A31" s="37"/>
      <c r="B31" s="1444" t="s">
        <v>1452</v>
      </c>
      <c r="C31" s="1444"/>
      <c r="D31" s="1461"/>
      <c r="E31" s="1461"/>
      <c r="F31" s="1461"/>
      <c r="G31" s="1461"/>
      <c r="H31" s="37"/>
      <c r="I31" s="37"/>
      <c r="J31" s="37"/>
    </row>
    <row r="32" spans="1:10" ht="21" customHeight="1" x14ac:dyDescent="0.25">
      <c r="A32" s="37"/>
      <c r="B32" s="1444" t="s">
        <v>1450</v>
      </c>
      <c r="C32" s="1444"/>
      <c r="D32" s="1445"/>
      <c r="E32" s="1445"/>
      <c r="F32" s="1445"/>
      <c r="G32" s="1445"/>
      <c r="H32" s="37"/>
      <c r="I32" s="37"/>
      <c r="J32" s="37"/>
    </row>
    <row r="33" spans="1:10" ht="21" customHeight="1" x14ac:dyDescent="0.25">
      <c r="A33" s="37"/>
      <c r="B33" s="1444" t="s">
        <v>1451</v>
      </c>
      <c r="C33" s="1444"/>
      <c r="D33" s="1445"/>
      <c r="E33" s="1445"/>
      <c r="F33" s="1445"/>
      <c r="G33" s="1445"/>
      <c r="H33" s="37"/>
      <c r="I33" s="37"/>
      <c r="J33" s="37"/>
    </row>
    <row r="34" spans="1:10" ht="21" customHeight="1" x14ac:dyDescent="0.25">
      <c r="A34" s="37"/>
      <c r="B34" s="1444" t="s">
        <v>1453</v>
      </c>
      <c r="C34" s="1444"/>
      <c r="D34" s="1445"/>
      <c r="E34" s="1445"/>
      <c r="F34" s="1445"/>
      <c r="G34" s="1445"/>
      <c r="H34" s="37"/>
      <c r="I34" s="37"/>
      <c r="J34" s="37"/>
    </row>
    <row r="35" spans="1:10" ht="13.5" customHeight="1" x14ac:dyDescent="0.25">
      <c r="A35" s="37"/>
      <c r="B35" s="37"/>
      <c r="C35" s="37"/>
      <c r="D35" s="37"/>
      <c r="E35" s="37"/>
      <c r="F35" s="37"/>
      <c r="G35" s="37"/>
      <c r="H35" s="37"/>
      <c r="I35" s="37"/>
      <c r="J35" s="37"/>
    </row>
    <row r="36" spans="1:10" ht="13.5" customHeight="1" thickBot="1" x14ac:dyDescent="0.3">
      <c r="A36" s="37"/>
      <c r="B36" s="37"/>
      <c r="C36" s="37"/>
      <c r="D36" s="37"/>
      <c r="E36" s="37"/>
      <c r="F36" s="37"/>
      <c r="G36" s="37"/>
      <c r="H36" s="37"/>
      <c r="I36" s="37"/>
      <c r="J36" s="37"/>
    </row>
    <row r="37" spans="1:10" ht="24" customHeight="1" thickBot="1" x14ac:dyDescent="0.3">
      <c r="A37" s="37"/>
      <c r="B37" s="1454" t="s">
        <v>1470</v>
      </c>
      <c r="C37" s="1455"/>
      <c r="D37" s="1455"/>
      <c r="E37" s="1455"/>
      <c r="F37" s="1455"/>
      <c r="G37" s="1456"/>
      <c r="H37" s="37"/>
      <c r="I37" s="37"/>
      <c r="J37" s="37"/>
    </row>
    <row r="38" spans="1:10" ht="21" customHeight="1" x14ac:dyDescent="0.25">
      <c r="A38" s="37"/>
      <c r="B38" s="1448" t="s">
        <v>249</v>
      </c>
      <c r="C38" s="1449"/>
      <c r="D38" s="1462"/>
      <c r="E38" s="1463"/>
      <c r="F38" s="1463"/>
      <c r="G38" s="1464"/>
      <c r="H38" s="37"/>
      <c r="I38" s="37"/>
      <c r="J38" s="37"/>
    </row>
    <row r="39" spans="1:10" ht="21" customHeight="1" x14ac:dyDescent="0.25">
      <c r="A39" s="37"/>
      <c r="B39" s="1444" t="s">
        <v>683</v>
      </c>
      <c r="C39" s="1444"/>
      <c r="D39" s="1446"/>
      <c r="E39" s="1446"/>
      <c r="F39" s="1446"/>
      <c r="G39" s="1446"/>
      <c r="H39" s="37"/>
      <c r="I39" s="37"/>
      <c r="J39" s="37"/>
    </row>
    <row r="40" spans="1:10" ht="21" customHeight="1" x14ac:dyDescent="0.25">
      <c r="A40" s="37"/>
      <c r="B40" s="1444" t="s">
        <v>1454</v>
      </c>
      <c r="C40" s="1444"/>
      <c r="D40" s="1446"/>
      <c r="E40" s="1446"/>
      <c r="F40" s="1446"/>
      <c r="G40" s="1446"/>
      <c r="H40" s="37"/>
      <c r="I40" s="37"/>
      <c r="J40" s="37"/>
    </row>
    <row r="41" spans="1:10" ht="33" customHeight="1" x14ac:dyDescent="0.25">
      <c r="A41" s="37"/>
      <c r="B41" s="1444" t="s">
        <v>1452</v>
      </c>
      <c r="C41" s="1444"/>
      <c r="D41" s="1446"/>
      <c r="E41" s="1446"/>
      <c r="F41" s="1446"/>
      <c r="G41" s="1446"/>
      <c r="H41" s="37"/>
      <c r="I41" s="37"/>
      <c r="J41" s="37"/>
    </row>
    <row r="42" spans="1:10" ht="21" customHeight="1" x14ac:dyDescent="0.25">
      <c r="A42" s="37"/>
      <c r="B42" s="1444" t="s">
        <v>1450</v>
      </c>
      <c r="C42" s="1444"/>
      <c r="D42" s="1446"/>
      <c r="E42" s="1446"/>
      <c r="F42" s="1446"/>
      <c r="G42" s="1446"/>
      <c r="H42" s="37"/>
      <c r="I42" s="37"/>
      <c r="J42" s="37"/>
    </row>
    <row r="43" spans="1:10" ht="21" customHeight="1" x14ac:dyDescent="0.25">
      <c r="A43" s="37"/>
      <c r="B43" s="1444" t="s">
        <v>1451</v>
      </c>
      <c r="C43" s="1444"/>
      <c r="D43" s="1446"/>
      <c r="E43" s="1446"/>
      <c r="F43" s="1446"/>
      <c r="G43" s="1446"/>
      <c r="H43" s="37"/>
      <c r="I43" s="37"/>
      <c r="J43" s="37"/>
    </row>
    <row r="44" spans="1:10" ht="21" customHeight="1" x14ac:dyDescent="0.25">
      <c r="A44" s="37"/>
      <c r="B44" s="1444" t="s">
        <v>1453</v>
      </c>
      <c r="C44" s="1444"/>
      <c r="D44" s="1446"/>
      <c r="E44" s="1446"/>
      <c r="F44" s="1446"/>
      <c r="G44" s="1446"/>
      <c r="H44" s="37"/>
      <c r="I44" s="37"/>
      <c r="J44" s="37"/>
    </row>
    <row r="45" spans="1:10" ht="28.5" customHeight="1" x14ac:dyDescent="0.25">
      <c r="A45" s="37"/>
      <c r="B45" s="1453" t="s">
        <v>2322</v>
      </c>
      <c r="C45" s="1453"/>
      <c r="D45" s="1453"/>
      <c r="E45" s="1453"/>
      <c r="F45" s="1453"/>
      <c r="G45" s="1453"/>
      <c r="H45" s="37"/>
      <c r="I45" s="37"/>
      <c r="J45" s="37"/>
    </row>
    <row r="46" spans="1:10" ht="28.5" customHeight="1" x14ac:dyDescent="0.25">
      <c r="A46" s="37"/>
      <c r="B46" s="1453"/>
      <c r="C46" s="1453"/>
      <c r="D46" s="1453"/>
      <c r="E46" s="1453"/>
      <c r="F46" s="1453"/>
      <c r="G46" s="1453"/>
      <c r="H46" s="37"/>
      <c r="I46" s="37"/>
      <c r="J46" s="37"/>
    </row>
    <row r="47" spans="1:10" ht="13.5" customHeight="1" x14ac:dyDescent="0.25">
      <c r="A47" s="37"/>
      <c r="B47" s="37"/>
      <c r="C47" s="37"/>
      <c r="D47" s="37"/>
      <c r="E47" s="37"/>
      <c r="F47" s="37"/>
      <c r="G47" s="37"/>
      <c r="H47" s="37"/>
      <c r="I47" s="37"/>
      <c r="J47" s="37"/>
    </row>
    <row r="48" spans="1:10" ht="13.5" customHeight="1" thickBot="1" x14ac:dyDescent="0.3">
      <c r="A48" s="37"/>
      <c r="B48" s="37"/>
      <c r="C48" s="37"/>
      <c r="D48" s="37"/>
      <c r="E48" s="37"/>
      <c r="F48" s="37"/>
      <c r="G48" s="37"/>
      <c r="H48" s="37"/>
      <c r="I48" s="37"/>
      <c r="J48" s="37"/>
    </row>
    <row r="49" spans="1:10" ht="24" customHeight="1" thickBot="1" x14ac:dyDescent="0.3">
      <c r="A49" s="37"/>
      <c r="B49" s="1454" t="s">
        <v>2323</v>
      </c>
      <c r="C49" s="1455"/>
      <c r="D49" s="1455"/>
      <c r="E49" s="1455"/>
      <c r="F49" s="1455"/>
      <c r="G49" s="1456"/>
      <c r="H49" s="37"/>
      <c r="I49" s="37"/>
      <c r="J49" s="37"/>
    </row>
    <row r="50" spans="1:10" ht="30" customHeight="1" x14ac:dyDescent="0.25">
      <c r="A50" s="37"/>
      <c r="B50" s="1457" t="s">
        <v>1455</v>
      </c>
      <c r="C50" s="1458"/>
      <c r="D50" s="1458"/>
      <c r="E50" s="1458"/>
      <c r="F50" s="1458"/>
      <c r="G50" s="1459"/>
      <c r="H50" s="37"/>
      <c r="I50" s="37"/>
      <c r="J50" s="37"/>
    </row>
    <row r="51" spans="1:10" ht="33" customHeight="1" x14ac:dyDescent="0.25">
      <c r="A51" s="37"/>
      <c r="B51" s="1460" t="s">
        <v>2359</v>
      </c>
      <c r="C51" s="1460"/>
      <c r="D51" s="1460"/>
      <c r="E51" s="1460"/>
      <c r="F51" s="1460"/>
      <c r="G51" s="861" t="s">
        <v>124</v>
      </c>
      <c r="H51" s="37"/>
      <c r="I51" s="37"/>
      <c r="J51" s="37"/>
    </row>
    <row r="52" spans="1:10" ht="62.25" customHeight="1" x14ac:dyDescent="0.25">
      <c r="A52" s="37"/>
      <c r="B52" s="1460" t="s">
        <v>2324</v>
      </c>
      <c r="C52" s="1460"/>
      <c r="D52" s="1460"/>
      <c r="E52" s="1460"/>
      <c r="F52" s="1460"/>
      <c r="G52" s="864" t="s">
        <v>124</v>
      </c>
      <c r="H52" s="37"/>
      <c r="I52" s="37"/>
      <c r="J52" s="37"/>
    </row>
    <row r="53" spans="1:10" ht="60" customHeight="1" x14ac:dyDescent="0.25">
      <c r="A53" s="37"/>
      <c r="B53" s="1460" t="s">
        <v>1456</v>
      </c>
      <c r="C53" s="1460"/>
      <c r="D53" s="1460"/>
      <c r="E53" s="1460"/>
      <c r="F53" s="1460"/>
      <c r="G53" s="864" t="s">
        <v>124</v>
      </c>
      <c r="H53" s="37"/>
      <c r="I53" s="37"/>
      <c r="J53" s="37"/>
    </row>
    <row r="54" spans="1:10" ht="13.5" customHeight="1" x14ac:dyDescent="0.25">
      <c r="A54" s="37"/>
      <c r="B54" s="37"/>
      <c r="C54" s="37"/>
      <c r="D54" s="37"/>
      <c r="E54" s="37"/>
      <c r="F54" s="37"/>
      <c r="G54" s="37"/>
      <c r="H54" s="37"/>
      <c r="I54" s="37"/>
      <c r="J54" s="37"/>
    </row>
    <row r="55" spans="1:10" ht="13.5" customHeight="1" thickBot="1" x14ac:dyDescent="0.3">
      <c r="A55" s="37"/>
      <c r="B55" s="37"/>
      <c r="C55" s="37"/>
      <c r="D55" s="37"/>
      <c r="E55" s="37"/>
      <c r="F55" s="37"/>
      <c r="G55" s="37"/>
      <c r="H55" s="37"/>
      <c r="I55" s="37"/>
      <c r="J55" s="37"/>
    </row>
    <row r="56" spans="1:10" ht="24" customHeight="1" thickBot="1" x14ac:dyDescent="0.3">
      <c r="A56" s="37"/>
      <c r="B56" s="1454" t="s">
        <v>1457</v>
      </c>
      <c r="C56" s="1455"/>
      <c r="D56" s="1455"/>
      <c r="E56" s="1455"/>
      <c r="F56" s="1455"/>
      <c r="G56" s="1456"/>
      <c r="H56" s="37"/>
      <c r="I56" s="37"/>
      <c r="J56" s="37"/>
    </row>
    <row r="57" spans="1:10" ht="29.25" customHeight="1" x14ac:dyDescent="0.25">
      <c r="A57" s="37"/>
      <c r="B57" s="1448" t="s">
        <v>1458</v>
      </c>
      <c r="C57" s="1449"/>
      <c r="D57" s="1450" t="s">
        <v>1471</v>
      </c>
      <c r="E57" s="1451"/>
      <c r="F57" s="1451"/>
      <c r="G57" s="1452"/>
      <c r="H57" s="827"/>
      <c r="I57" s="37"/>
      <c r="J57" s="37"/>
    </row>
    <row r="58" spans="1:10" x14ac:dyDescent="0.25">
      <c r="A58" s="37"/>
      <c r="B58" s="1446"/>
      <c r="C58" s="1446"/>
      <c r="D58" s="1447"/>
      <c r="E58" s="1447"/>
      <c r="F58" s="1447"/>
      <c r="G58" s="1447"/>
      <c r="H58" s="37"/>
      <c r="I58" s="37"/>
      <c r="J58" s="37"/>
    </row>
    <row r="59" spans="1:10" x14ac:dyDescent="0.25">
      <c r="A59" s="37"/>
      <c r="B59" s="1446"/>
      <c r="C59" s="1446"/>
      <c r="D59" s="1447"/>
      <c r="E59" s="1447"/>
      <c r="F59" s="1447"/>
      <c r="G59" s="1447"/>
      <c r="H59" s="37"/>
      <c r="I59" s="37"/>
      <c r="J59" s="37"/>
    </row>
    <row r="60" spans="1:10" x14ac:dyDescent="0.25">
      <c r="A60" s="37"/>
      <c r="B60" s="1446"/>
      <c r="C60" s="1446"/>
      <c r="D60" s="1447"/>
      <c r="E60" s="1447"/>
      <c r="F60" s="1447"/>
      <c r="G60" s="1447"/>
      <c r="H60" s="37"/>
      <c r="I60" s="37"/>
      <c r="J60" s="37"/>
    </row>
    <row r="61" spans="1:10" x14ac:dyDescent="0.25">
      <c r="A61" s="37"/>
      <c r="B61" s="1446"/>
      <c r="C61" s="1446"/>
      <c r="D61" s="1447"/>
      <c r="E61" s="1447"/>
      <c r="F61" s="1447"/>
      <c r="G61" s="1447"/>
      <c r="H61" s="37"/>
      <c r="I61" s="37"/>
      <c r="J61" s="37"/>
    </row>
    <row r="62" spans="1:10" ht="21" customHeight="1" x14ac:dyDescent="0.25">
      <c r="A62" s="37"/>
      <c r="B62" s="1444" t="s">
        <v>247</v>
      </c>
      <c r="C62" s="1444"/>
      <c r="D62" s="1445"/>
      <c r="E62" s="1445"/>
      <c r="F62" s="1445"/>
      <c r="G62" s="1445"/>
      <c r="H62" s="37"/>
      <c r="I62" s="37"/>
      <c r="J62" s="37"/>
    </row>
    <row r="63" spans="1:10" ht="21" customHeight="1" x14ac:dyDescent="0.25">
      <c r="A63" s="37"/>
      <c r="B63" s="1444" t="s">
        <v>249</v>
      </c>
      <c r="C63" s="1444"/>
      <c r="D63" s="1445"/>
      <c r="E63" s="1445"/>
      <c r="F63" s="1445"/>
      <c r="G63" s="1445"/>
      <c r="H63" s="37"/>
      <c r="I63" s="37"/>
      <c r="J63" s="37"/>
    </row>
    <row r="64" spans="1:10" ht="21" customHeight="1" x14ac:dyDescent="0.25">
      <c r="A64" s="37"/>
      <c r="B64" s="1444" t="s">
        <v>683</v>
      </c>
      <c r="C64" s="1444"/>
      <c r="D64" s="1445"/>
      <c r="E64" s="1445"/>
      <c r="F64" s="1445"/>
      <c r="G64" s="1445"/>
      <c r="H64" s="37"/>
      <c r="I64" s="37"/>
      <c r="J64" s="37"/>
    </row>
    <row r="65" spans="1:10" ht="21" customHeight="1" x14ac:dyDescent="0.25">
      <c r="A65" s="37"/>
      <c r="B65" s="1444" t="s">
        <v>1472</v>
      </c>
      <c r="C65" s="1444"/>
      <c r="D65" s="1445"/>
      <c r="E65" s="1445"/>
      <c r="F65" s="1445"/>
      <c r="G65" s="1445"/>
      <c r="H65" s="37"/>
      <c r="I65" s="37"/>
      <c r="J65" s="37"/>
    </row>
    <row r="66" spans="1:10" ht="33" customHeight="1" x14ac:dyDescent="0.25">
      <c r="A66" s="37"/>
      <c r="B66" s="1444" t="s">
        <v>1459</v>
      </c>
      <c r="C66" s="1444"/>
      <c r="D66" s="1446"/>
      <c r="E66" s="1446"/>
      <c r="F66" s="1446"/>
      <c r="G66" s="1446"/>
      <c r="H66" s="37"/>
      <c r="I66" s="37"/>
      <c r="J66" s="37"/>
    </row>
    <row r="67" spans="1:10" x14ac:dyDescent="0.25">
      <c r="A67" s="37"/>
      <c r="B67" s="37"/>
      <c r="C67" s="37"/>
      <c r="D67" s="37"/>
      <c r="E67" s="37"/>
      <c r="F67" s="37"/>
      <c r="G67" s="37"/>
      <c r="H67" s="37"/>
      <c r="I67" s="37"/>
      <c r="J67" s="37"/>
    </row>
    <row r="68" spans="1:10" x14ac:dyDescent="0.25">
      <c r="A68" s="37"/>
      <c r="B68" s="37"/>
      <c r="C68" s="37"/>
      <c r="D68" s="37"/>
      <c r="E68" s="37"/>
      <c r="F68" s="37"/>
      <c r="G68" s="37"/>
      <c r="H68" s="37"/>
      <c r="I68" s="37"/>
      <c r="J68" s="37"/>
    </row>
    <row r="69" spans="1:10" ht="21" customHeight="1" x14ac:dyDescent="0.25">
      <c r="A69" s="37"/>
      <c r="B69" s="1434" t="s">
        <v>1465</v>
      </c>
      <c r="C69" s="1435"/>
      <c r="D69" s="1435"/>
      <c r="E69" s="1435"/>
      <c r="F69" s="1435"/>
      <c r="G69" s="1436"/>
      <c r="H69" s="37"/>
      <c r="I69" s="37"/>
      <c r="J69" s="37"/>
    </row>
    <row r="70" spans="1:10" ht="18" customHeight="1" x14ac:dyDescent="0.25">
      <c r="A70" s="37"/>
      <c r="B70" s="1437" t="s">
        <v>1466</v>
      </c>
      <c r="C70" s="1438"/>
      <c r="D70" s="1438"/>
      <c r="E70" s="1438"/>
      <c r="F70" s="1438"/>
      <c r="G70" s="1439"/>
      <c r="H70" s="37"/>
      <c r="I70" s="37"/>
      <c r="J70" s="37"/>
    </row>
    <row r="71" spans="1:10" ht="30" customHeight="1" x14ac:dyDescent="0.25">
      <c r="A71" s="37"/>
      <c r="B71" s="1437" t="s">
        <v>2669</v>
      </c>
      <c r="C71" s="1438"/>
      <c r="D71" s="1438"/>
      <c r="E71" s="1438"/>
      <c r="F71" s="1438"/>
      <c r="G71" s="1439"/>
      <c r="H71" s="37"/>
      <c r="I71" s="37"/>
      <c r="J71" s="37"/>
    </row>
    <row r="72" spans="1:10" ht="21" customHeight="1" x14ac:dyDescent="0.25">
      <c r="A72" s="37"/>
      <c r="B72" s="1440" t="s">
        <v>1438</v>
      </c>
      <c r="C72" s="1441"/>
      <c r="D72" s="1441"/>
      <c r="E72" s="1441"/>
      <c r="F72" s="1441"/>
      <c r="G72" s="1442"/>
      <c r="H72" s="37"/>
      <c r="I72" s="37"/>
      <c r="J72" s="37"/>
    </row>
    <row r="73" spans="1:10" x14ac:dyDescent="0.25">
      <c r="A73" s="37"/>
      <c r="B73" s="37"/>
      <c r="C73" s="37"/>
      <c r="D73" s="37"/>
      <c r="E73" s="37"/>
      <c r="F73" s="37"/>
      <c r="G73" s="37"/>
      <c r="H73" s="37"/>
      <c r="I73" s="37"/>
      <c r="J73" s="37"/>
    </row>
    <row r="74" spans="1:10" x14ac:dyDescent="0.25">
      <c r="A74" s="37"/>
      <c r="B74" s="37"/>
      <c r="C74" s="37"/>
      <c r="D74" s="37"/>
      <c r="E74" s="37"/>
      <c r="F74" s="37"/>
      <c r="G74" s="37"/>
      <c r="H74" s="37"/>
      <c r="I74" s="37"/>
      <c r="J74" s="37"/>
    </row>
    <row r="75" spans="1:10" ht="18" customHeight="1" x14ac:dyDescent="0.25">
      <c r="A75" s="37"/>
      <c r="B75" s="1443" t="s">
        <v>1461</v>
      </c>
      <c r="C75" s="1443"/>
      <c r="D75" s="1443"/>
      <c r="E75" s="1443"/>
      <c r="F75" s="1443"/>
      <c r="G75" s="1443"/>
      <c r="H75" s="37"/>
      <c r="I75" s="37"/>
      <c r="J75" s="37"/>
    </row>
    <row r="76" spans="1:10" ht="33.75" customHeight="1" x14ac:dyDescent="0.25">
      <c r="A76" s="37"/>
      <c r="B76" s="1426" t="s">
        <v>1462</v>
      </c>
      <c r="C76" s="1426"/>
      <c r="D76" s="1426"/>
      <c r="E76" s="1426"/>
      <c r="F76" s="1426"/>
      <c r="G76" s="1426"/>
      <c r="H76" s="37"/>
      <c r="I76" s="37"/>
      <c r="J76" s="37"/>
    </row>
    <row r="77" spans="1:10" ht="58.5" customHeight="1" x14ac:dyDescent="0.25">
      <c r="A77" s="37"/>
      <c r="B77" s="1426" t="s">
        <v>1463</v>
      </c>
      <c r="C77" s="1426"/>
      <c r="D77" s="1426"/>
      <c r="E77" s="1426"/>
      <c r="F77" s="1426"/>
      <c r="G77" s="1426"/>
      <c r="H77" s="37"/>
      <c r="I77" s="37"/>
      <c r="J77" s="37"/>
    </row>
    <row r="78" spans="1:10" ht="31.5" customHeight="1" x14ac:dyDescent="0.25">
      <c r="A78" s="37"/>
      <c r="B78" s="1426" t="s">
        <v>1464</v>
      </c>
      <c r="C78" s="1426"/>
      <c r="D78" s="1426"/>
      <c r="E78" s="1426"/>
      <c r="F78" s="1426"/>
      <c r="G78" s="1426"/>
      <c r="H78" s="37"/>
      <c r="I78" s="37"/>
      <c r="J78" s="37"/>
    </row>
    <row r="79" spans="1:10" x14ac:dyDescent="0.25">
      <c r="A79" s="37"/>
      <c r="B79" s="37"/>
      <c r="C79" s="37"/>
      <c r="D79" s="37"/>
      <c r="E79" s="37"/>
      <c r="F79" s="37"/>
      <c r="G79" s="37"/>
      <c r="H79" s="37"/>
      <c r="I79" s="37"/>
      <c r="J79" s="37"/>
    </row>
    <row r="80" spans="1:10" ht="21" customHeight="1" thickBot="1" x14ac:dyDescent="0.3">
      <c r="A80" s="37"/>
      <c r="B80" s="1427" t="s">
        <v>1500</v>
      </c>
      <c r="C80" s="1428"/>
      <c r="D80" s="1428"/>
      <c r="E80" s="1428"/>
      <c r="F80" s="1428"/>
      <c r="G80" s="1428"/>
      <c r="H80" s="37"/>
      <c r="I80" s="37"/>
      <c r="J80" s="37"/>
    </row>
    <row r="81" spans="1:12" ht="21" customHeight="1" thickBot="1" x14ac:dyDescent="0.3">
      <c r="A81" s="37"/>
      <c r="B81" s="1429" t="s">
        <v>2325</v>
      </c>
      <c r="C81" s="1430"/>
      <c r="D81" s="1431"/>
      <c r="E81" s="1432"/>
      <c r="F81" s="1432"/>
      <c r="G81" s="1433"/>
      <c r="H81" s="37"/>
      <c r="I81" s="37"/>
      <c r="J81" s="37"/>
    </row>
    <row r="82" spans="1:12" ht="21" customHeight="1" thickBot="1" x14ac:dyDescent="0.3">
      <c r="A82" s="37"/>
      <c r="B82" s="1429" t="s">
        <v>1460</v>
      </c>
      <c r="C82" s="1430"/>
      <c r="D82" s="1431"/>
      <c r="E82" s="1432"/>
      <c r="F82" s="1432"/>
      <c r="G82" s="1433"/>
      <c r="I82" s="37"/>
      <c r="J82" s="37"/>
    </row>
    <row r="83" spans="1:12" x14ac:dyDescent="0.25">
      <c r="A83" s="37"/>
      <c r="B83" s="37"/>
      <c r="C83" s="37"/>
      <c r="D83" s="37"/>
      <c r="E83" s="37"/>
      <c r="F83" s="37"/>
      <c r="G83" s="37"/>
      <c r="H83" s="37"/>
      <c r="I83" s="37"/>
      <c r="J83" s="37"/>
    </row>
    <row r="84" spans="1:12" x14ac:dyDescent="0.25">
      <c r="A84" s="37"/>
      <c r="B84" s="37"/>
      <c r="C84" s="37"/>
      <c r="D84" s="37"/>
      <c r="E84" s="37"/>
      <c r="F84" s="37"/>
      <c r="G84" s="37"/>
      <c r="H84" s="37"/>
      <c r="I84" s="37"/>
      <c r="J84" s="37"/>
    </row>
    <row r="85" spans="1:12" hidden="1" x14ac:dyDescent="0.25"/>
    <row r="86" spans="1:12" hidden="1" x14ac:dyDescent="0.25">
      <c r="K86" s="1417"/>
      <c r="L86" s="1417"/>
    </row>
    <row r="87" spans="1:12" hidden="1" x14ac:dyDescent="0.25"/>
    <row r="88" spans="1:12" hidden="1" x14ac:dyDescent="0.25"/>
    <row r="89" spans="1:12" hidden="1" x14ac:dyDescent="0.25"/>
    <row r="90" spans="1:12" ht="15" hidden="1" customHeight="1" x14ac:dyDescent="0.25"/>
    <row r="91" spans="1:12" ht="15" hidden="1" customHeight="1" x14ac:dyDescent="0.25"/>
    <row r="92" spans="1:12" ht="15" hidden="1" customHeight="1" x14ac:dyDescent="0.25"/>
    <row r="93" spans="1:12" ht="15" hidden="1" customHeight="1" x14ac:dyDescent="0.25"/>
    <row r="94" spans="1:12" ht="15" hidden="1" customHeight="1" x14ac:dyDescent="0.25"/>
    <row r="95" spans="1:12" ht="15" hidden="1" customHeight="1" x14ac:dyDescent="0.25"/>
    <row r="96" spans="1:12" ht="15" hidden="1" customHeight="1" x14ac:dyDescent="0.25"/>
    <row r="97" ht="15" hidden="1" customHeight="1" x14ac:dyDescent="0.25"/>
    <row r="98" ht="15" hidden="1" customHeight="1" x14ac:dyDescent="0.25"/>
    <row r="99" ht="15" hidden="1" customHeight="1" x14ac:dyDescent="0.25"/>
    <row r="100" ht="15" hidden="1" customHeight="1" x14ac:dyDescent="0.25"/>
  </sheetData>
  <sheetProtection algorithmName="SHA-512" hashValue="iWuyo0vmRW7HRVEKSfyB8yBuMgynNzoF259/OfQG7INTTD3ozLhZL9n3oB60dlKjyRy2F02Zf9jwojhH735a1g==" saltValue="rrJM2LDs4jMIz1Z48d5NZQ==" spinCount="100000" sheet="1" objects="1" scenarios="1"/>
  <mergeCells count="88">
    <mergeCell ref="B8:C8"/>
    <mergeCell ref="D8:G8"/>
    <mergeCell ref="B5:G5"/>
    <mergeCell ref="B6:C6"/>
    <mergeCell ref="D6:G6"/>
    <mergeCell ref="B7:C7"/>
    <mergeCell ref="D7:G7"/>
    <mergeCell ref="B14:C14"/>
    <mergeCell ref="D14:G14"/>
    <mergeCell ref="B15:G15"/>
    <mergeCell ref="B16:G23"/>
    <mergeCell ref="B9:C10"/>
    <mergeCell ref="B11:C12"/>
    <mergeCell ref="D11:G12"/>
    <mergeCell ref="B13:C13"/>
    <mergeCell ref="D13:G13"/>
    <mergeCell ref="B24:C24"/>
    <mergeCell ref="D24:G24"/>
    <mergeCell ref="B25:C25"/>
    <mergeCell ref="D25:G25"/>
    <mergeCell ref="B26:C26"/>
    <mergeCell ref="D26:G26"/>
    <mergeCell ref="B27:C27"/>
    <mergeCell ref="D27:G27"/>
    <mergeCell ref="B29:G29"/>
    <mergeCell ref="B30:C30"/>
    <mergeCell ref="D30:G30"/>
    <mergeCell ref="B39:C39"/>
    <mergeCell ref="B31:C31"/>
    <mergeCell ref="D31:G31"/>
    <mergeCell ref="B32:C32"/>
    <mergeCell ref="D32:G32"/>
    <mergeCell ref="B33:C33"/>
    <mergeCell ref="D33:G33"/>
    <mergeCell ref="B34:C34"/>
    <mergeCell ref="D34:G34"/>
    <mergeCell ref="B37:G37"/>
    <mergeCell ref="B38:C38"/>
    <mergeCell ref="D38:G38"/>
    <mergeCell ref="D39:G39"/>
    <mergeCell ref="B40:C40"/>
    <mergeCell ref="D40:G40"/>
    <mergeCell ref="B41:C41"/>
    <mergeCell ref="D41:G41"/>
    <mergeCell ref="B42:C42"/>
    <mergeCell ref="D42:G42"/>
    <mergeCell ref="B57:C57"/>
    <mergeCell ref="D57:G57"/>
    <mergeCell ref="B43:C43"/>
    <mergeCell ref="D43:G43"/>
    <mergeCell ref="B44:C44"/>
    <mergeCell ref="D44:G44"/>
    <mergeCell ref="B45:G46"/>
    <mergeCell ref="B49:G49"/>
    <mergeCell ref="B50:G50"/>
    <mergeCell ref="B51:F51"/>
    <mergeCell ref="B52:F52"/>
    <mergeCell ref="B53:F53"/>
    <mergeCell ref="B56:G56"/>
    <mergeCell ref="B58:C61"/>
    <mergeCell ref="D58:G61"/>
    <mergeCell ref="B62:C62"/>
    <mergeCell ref="D62:G62"/>
    <mergeCell ref="B63:C63"/>
    <mergeCell ref="D63:G63"/>
    <mergeCell ref="B76:G76"/>
    <mergeCell ref="B64:C64"/>
    <mergeCell ref="D64:G64"/>
    <mergeCell ref="B65:C65"/>
    <mergeCell ref="D65:G65"/>
    <mergeCell ref="B66:C66"/>
    <mergeCell ref="D66:G66"/>
    <mergeCell ref="K86:L86"/>
    <mergeCell ref="A3:F3"/>
    <mergeCell ref="A1:F1"/>
    <mergeCell ref="D9:G10"/>
    <mergeCell ref="B77:G77"/>
    <mergeCell ref="B78:G78"/>
    <mergeCell ref="B80:G80"/>
    <mergeCell ref="B81:C81"/>
    <mergeCell ref="D81:G81"/>
    <mergeCell ref="B82:C82"/>
    <mergeCell ref="D82:G82"/>
    <mergeCell ref="B69:G69"/>
    <mergeCell ref="B70:G70"/>
    <mergeCell ref="B71:G71"/>
    <mergeCell ref="B72:G72"/>
    <mergeCell ref="B75:G75"/>
  </mergeCells>
  <dataValidations disablePrompts="1" count="4">
    <dataValidation allowBlank="1" showInputMessage="1" showErrorMessage="1" prompt="Also, describe if there is a basement." sqref="D13:G13" xr:uid="{00000000-0002-0000-0600-000000000000}"/>
    <dataValidation allowBlank="1" showInputMessage="1" showErrorMessage="1" prompt="New construction, renovation, extension, etc.?" sqref="D9:G10" xr:uid="{00000000-0002-0000-0600-000001000000}"/>
    <dataValidation type="list" allowBlank="1" showInputMessage="1" showErrorMessage="1" sqref="D27:G27 G51:G53" xr:uid="{00000000-0002-0000-0600-000002000000}">
      <formula1>"Select,Yes,No"</formula1>
    </dataValidation>
    <dataValidation type="list" allowBlank="1" showInputMessage="1" showErrorMessage="1" sqref="D26:G26" xr:uid="{00000000-0002-0000-0600-000003000000}">
      <formula1>"Select,Certified,Silver,Gold,Platinum"</formula1>
    </dataValidation>
  </dataValidations>
  <pageMargins left="0.7" right="0.7" top="0.75" bottom="0.75" header="0.3" footer="0.3"/>
  <pageSetup paperSize="9" orientation="portrait" horizontalDpi="300" verticalDpi="0" r:id="rId1"/>
  <rowBreaks count="2" manualBreakCount="2">
    <brk id="28" max="16383" man="1"/>
    <brk id="5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dimension ref="A1:P36"/>
  <sheetViews>
    <sheetView showRowColHeaders="0" workbookViewId="0">
      <selection activeCell="C7" sqref="C7:K8"/>
    </sheetView>
  </sheetViews>
  <sheetFormatPr defaultColWidth="0" defaultRowHeight="15" zeroHeight="1" x14ac:dyDescent="0.25"/>
  <cols>
    <col min="1" max="1" width="3.7109375" customWidth="1"/>
    <col min="2" max="2" width="9.7109375" customWidth="1"/>
    <col min="3" max="3" width="9.140625" customWidth="1"/>
    <col min="4" max="4" width="10" customWidth="1"/>
    <col min="5" max="10" width="9.140625" customWidth="1"/>
    <col min="11" max="11" width="11.7109375" customWidth="1"/>
    <col min="12" max="15" width="9.140625" customWidth="1"/>
    <col min="16" max="16" width="9.140625" hidden="1" customWidth="1"/>
    <col min="17" max="16384" width="9.140625" hidden="1"/>
  </cols>
  <sheetData>
    <row r="1" spans="1:16" ht="30" customHeight="1" x14ac:dyDescent="0.25">
      <c r="A1" s="1348" t="s">
        <v>864</v>
      </c>
      <c r="B1" s="1348"/>
      <c r="C1" s="1348"/>
      <c r="D1" s="1348"/>
      <c r="E1" s="1348"/>
      <c r="F1" s="1348"/>
      <c r="G1" s="1348"/>
      <c r="H1" s="1348"/>
      <c r="I1" s="1348"/>
      <c r="J1" s="1348"/>
      <c r="K1" s="1348"/>
      <c r="L1" s="1348"/>
      <c r="M1" s="1348"/>
      <c r="N1" s="1348"/>
      <c r="O1" s="1348"/>
      <c r="P1" s="40"/>
    </row>
    <row r="2" spans="1:16" ht="18" customHeight="1" x14ac:dyDescent="0.25">
      <c r="A2" s="1515" t="s">
        <v>2667</v>
      </c>
      <c r="B2" s="1515"/>
      <c r="C2" s="1515"/>
      <c r="D2" s="1515"/>
      <c r="E2" s="1515"/>
      <c r="F2" s="1515"/>
      <c r="G2" s="1515"/>
      <c r="H2" s="1515"/>
      <c r="I2" s="1515"/>
      <c r="J2" s="1515"/>
      <c r="K2" s="1515"/>
      <c r="L2" s="1515"/>
      <c r="M2" s="1515"/>
      <c r="N2" s="1515"/>
      <c r="O2" s="1515"/>
      <c r="P2" s="116"/>
    </row>
    <row r="3" spans="1:16" ht="18" customHeight="1" x14ac:dyDescent="0.25">
      <c r="A3" s="1515"/>
      <c r="B3" s="1515"/>
      <c r="C3" s="1515"/>
      <c r="D3" s="1515"/>
      <c r="E3" s="1515"/>
      <c r="F3" s="1515"/>
      <c r="G3" s="1515"/>
      <c r="H3" s="1515"/>
      <c r="I3" s="1515"/>
      <c r="J3" s="1515"/>
      <c r="K3" s="1515"/>
      <c r="L3" s="1515"/>
      <c r="M3" s="1515"/>
      <c r="N3" s="1515"/>
      <c r="O3" s="1515"/>
      <c r="P3" s="116"/>
    </row>
    <row r="4" spans="1:16" ht="15" customHeight="1" x14ac:dyDescent="0.25">
      <c r="A4" s="476"/>
      <c r="B4" s="476"/>
      <c r="C4" s="476"/>
      <c r="D4" s="476"/>
      <c r="E4" s="476"/>
      <c r="F4" s="476"/>
      <c r="G4" s="476"/>
      <c r="H4" s="476"/>
      <c r="I4" s="476"/>
      <c r="J4" s="476"/>
      <c r="K4" s="476"/>
      <c r="L4" s="11"/>
      <c r="M4" s="11"/>
      <c r="N4" s="11"/>
      <c r="O4" s="11"/>
      <c r="P4" s="11"/>
    </row>
    <row r="5" spans="1:16" ht="18" customHeight="1" x14ac:dyDescent="0.25">
      <c r="A5" s="1349" t="s">
        <v>859</v>
      </c>
      <c r="B5" s="1349"/>
      <c r="C5" s="1349"/>
      <c r="D5" s="1349"/>
      <c r="E5" s="476"/>
      <c r="F5" s="476"/>
      <c r="G5" s="476"/>
      <c r="H5" s="476"/>
      <c r="I5" s="476"/>
      <c r="J5" s="476"/>
      <c r="K5" s="476"/>
      <c r="L5" s="11"/>
      <c r="M5" s="11"/>
      <c r="N5" s="11"/>
      <c r="O5" s="11"/>
      <c r="P5" s="11"/>
    </row>
    <row r="6" spans="1:16" x14ac:dyDescent="0.25">
      <c r="A6" s="476"/>
      <c r="B6" s="476"/>
      <c r="C6" s="476"/>
      <c r="D6" s="476"/>
      <c r="E6" s="476"/>
      <c r="F6" s="476"/>
      <c r="G6" s="476"/>
      <c r="H6" s="476"/>
      <c r="I6" s="476"/>
      <c r="J6" s="476"/>
      <c r="K6" s="476"/>
      <c r="L6" s="11"/>
      <c r="M6" s="11"/>
      <c r="N6" s="11"/>
      <c r="O6" s="11"/>
      <c r="P6" s="11"/>
    </row>
    <row r="7" spans="1:16" ht="18" customHeight="1" x14ac:dyDescent="0.25">
      <c r="A7" s="476"/>
      <c r="B7" s="475">
        <v>1</v>
      </c>
      <c r="C7" s="1512" t="s">
        <v>2568</v>
      </c>
      <c r="D7" s="1513"/>
      <c r="E7" s="1513"/>
      <c r="F7" s="1513"/>
      <c r="G7" s="1513"/>
      <c r="H7" s="1513"/>
      <c r="I7" s="1513"/>
      <c r="J7" s="1513"/>
      <c r="K7" s="1514"/>
      <c r="L7" s="1511" t="s">
        <v>863</v>
      </c>
      <c r="M7" s="1511"/>
      <c r="N7" s="11"/>
      <c r="O7" s="11"/>
      <c r="P7" s="11"/>
    </row>
    <row r="8" spans="1:16" ht="18" customHeight="1" x14ac:dyDescent="0.25">
      <c r="A8" s="476"/>
      <c r="B8" s="475">
        <v>2</v>
      </c>
      <c r="C8" s="1512" t="s">
        <v>2569</v>
      </c>
      <c r="D8" s="1513"/>
      <c r="E8" s="1513"/>
      <c r="F8" s="1513"/>
      <c r="G8" s="1513"/>
      <c r="H8" s="1513"/>
      <c r="I8" s="1513"/>
      <c r="J8" s="1513"/>
      <c r="K8" s="1514"/>
      <c r="L8" s="1511" t="s">
        <v>863</v>
      </c>
      <c r="M8" s="1511"/>
      <c r="N8" s="11"/>
      <c r="O8" s="11"/>
      <c r="P8" s="11"/>
    </row>
    <row r="9" spans="1:16" ht="18" customHeight="1" x14ac:dyDescent="0.25">
      <c r="A9" s="476"/>
      <c r="B9" s="476"/>
      <c r="C9" s="476"/>
      <c r="D9" s="476"/>
      <c r="E9" s="476"/>
      <c r="F9" s="476"/>
      <c r="G9" s="476"/>
      <c r="H9" s="476"/>
      <c r="I9" s="476"/>
      <c r="J9" s="476"/>
      <c r="K9" s="476"/>
      <c r="L9" s="11"/>
      <c r="M9" s="11"/>
      <c r="N9" s="11"/>
      <c r="O9" s="11"/>
      <c r="P9" s="11"/>
    </row>
    <row r="10" spans="1:16" ht="18" customHeight="1" x14ac:dyDescent="0.25">
      <c r="A10" s="1349" t="s">
        <v>860</v>
      </c>
      <c r="B10" s="1349"/>
      <c r="C10" s="1349"/>
      <c r="D10" s="1349"/>
      <c r="E10" s="476"/>
      <c r="F10" s="476"/>
      <c r="G10" s="476"/>
      <c r="H10" s="476"/>
      <c r="I10" s="476"/>
      <c r="J10" s="476"/>
      <c r="K10" s="476"/>
      <c r="L10" s="11"/>
      <c r="M10" s="11"/>
      <c r="N10" s="11"/>
      <c r="O10" s="11"/>
      <c r="P10" s="11"/>
    </row>
    <row r="11" spans="1:16" ht="15" customHeight="1" x14ac:dyDescent="0.25">
      <c r="A11" s="476"/>
      <c r="B11" s="476"/>
      <c r="C11" s="476"/>
      <c r="D11" s="476"/>
      <c r="E11" s="476"/>
      <c r="F11" s="476"/>
      <c r="G11" s="476"/>
      <c r="H11" s="476"/>
      <c r="I11" s="476"/>
      <c r="J11" s="476"/>
      <c r="K11" s="476"/>
      <c r="L11" s="11"/>
      <c r="M11" s="11"/>
      <c r="N11" s="11"/>
      <c r="O11" s="11"/>
      <c r="P11" s="11"/>
    </row>
    <row r="12" spans="1:16" x14ac:dyDescent="0.25">
      <c r="A12" s="476"/>
      <c r="B12" s="476" t="s">
        <v>1037</v>
      </c>
      <c r="C12" s="476"/>
      <c r="D12" s="476"/>
      <c r="E12" s="476"/>
      <c r="F12" s="476"/>
      <c r="G12" s="476"/>
      <c r="H12" s="476"/>
      <c r="I12" s="476"/>
      <c r="J12" s="476"/>
      <c r="K12" s="476"/>
      <c r="L12" s="11"/>
      <c r="M12" s="11"/>
      <c r="N12" s="11"/>
      <c r="O12" s="11"/>
      <c r="P12" s="11"/>
    </row>
    <row r="13" spans="1:16" ht="16.5" customHeight="1" x14ac:dyDescent="0.25">
      <c r="A13" s="476"/>
      <c r="B13" s="475">
        <v>1</v>
      </c>
      <c r="C13" s="1512" t="s">
        <v>1032</v>
      </c>
      <c r="D13" s="1513"/>
      <c r="E13" s="1513"/>
      <c r="F13" s="1513"/>
      <c r="G13" s="1513"/>
      <c r="H13" s="1513"/>
      <c r="I13" s="1513"/>
      <c r="J13" s="1513"/>
      <c r="K13" s="1514"/>
      <c r="L13" s="1511" t="s">
        <v>863</v>
      </c>
      <c r="M13" s="1511"/>
      <c r="N13" s="11"/>
      <c r="O13" s="11"/>
      <c r="P13" s="11"/>
    </row>
    <row r="14" spans="1:16" ht="16.5" customHeight="1" x14ac:dyDescent="0.25">
      <c r="A14" s="476"/>
      <c r="B14" s="475">
        <v>2</v>
      </c>
      <c r="C14" s="1512" t="s">
        <v>1033</v>
      </c>
      <c r="D14" s="1513"/>
      <c r="E14" s="1513"/>
      <c r="F14" s="1513"/>
      <c r="G14" s="1513"/>
      <c r="H14" s="1513"/>
      <c r="I14" s="1513"/>
      <c r="J14" s="1513"/>
      <c r="K14" s="1514"/>
      <c r="L14" s="1511" t="s">
        <v>863</v>
      </c>
      <c r="M14" s="1511"/>
      <c r="N14" s="11"/>
      <c r="O14" s="11"/>
      <c r="P14" s="11"/>
    </row>
    <row r="15" spans="1:16" ht="42.75" customHeight="1" x14ac:dyDescent="0.25">
      <c r="A15" s="476"/>
      <c r="B15" s="475">
        <v>3</v>
      </c>
      <c r="C15" s="1508" t="s">
        <v>2365</v>
      </c>
      <c r="D15" s="1509"/>
      <c r="E15" s="1509"/>
      <c r="F15" s="1509"/>
      <c r="G15" s="1509"/>
      <c r="H15" s="1509"/>
      <c r="I15" s="1509"/>
      <c r="J15" s="1509"/>
      <c r="K15" s="1510"/>
      <c r="L15" s="1511" t="s">
        <v>863</v>
      </c>
      <c r="M15" s="1511"/>
      <c r="N15" s="11"/>
      <c r="O15" s="11"/>
      <c r="P15" s="11"/>
    </row>
    <row r="16" spans="1:16" ht="15" customHeight="1" x14ac:dyDescent="0.25">
      <c r="A16" s="476"/>
      <c r="B16" s="476"/>
      <c r="C16" s="476"/>
      <c r="D16" s="476"/>
      <c r="E16" s="476"/>
      <c r="F16" s="476"/>
      <c r="G16" s="476"/>
      <c r="H16" s="476"/>
      <c r="I16" s="476"/>
      <c r="J16" s="476"/>
      <c r="K16" s="476"/>
      <c r="L16" s="11"/>
      <c r="M16" s="11"/>
      <c r="N16" s="11"/>
      <c r="O16" s="11"/>
      <c r="P16" s="11"/>
    </row>
    <row r="17" spans="1:16" ht="18" customHeight="1" x14ac:dyDescent="0.25">
      <c r="A17" s="476"/>
      <c r="B17" s="476" t="s">
        <v>865</v>
      </c>
      <c r="C17" s="476"/>
      <c r="D17" s="476"/>
      <c r="E17" s="476"/>
      <c r="F17" s="476"/>
      <c r="G17" s="476"/>
      <c r="H17" s="476"/>
      <c r="I17" s="476"/>
      <c r="J17" s="476"/>
      <c r="K17" s="476"/>
      <c r="L17" s="11"/>
      <c r="M17" s="11"/>
      <c r="N17" s="11"/>
      <c r="O17" s="11"/>
      <c r="P17" s="11"/>
    </row>
    <row r="18" spans="1:16" ht="18" customHeight="1" x14ac:dyDescent="0.25">
      <c r="A18" s="476"/>
      <c r="B18" s="475">
        <v>1</v>
      </c>
      <c r="C18" s="1508" t="s">
        <v>1034</v>
      </c>
      <c r="D18" s="1509"/>
      <c r="E18" s="1509"/>
      <c r="F18" s="1509"/>
      <c r="G18" s="1509"/>
      <c r="H18" s="1509"/>
      <c r="I18" s="1509"/>
      <c r="J18" s="1509"/>
      <c r="K18" s="1510"/>
      <c r="L18" s="1511" t="s">
        <v>863</v>
      </c>
      <c r="M18" s="1511"/>
      <c r="N18" s="11"/>
      <c r="O18" s="11"/>
      <c r="P18" s="11"/>
    </row>
    <row r="19" spans="1:16" ht="18" customHeight="1" x14ac:dyDescent="0.25">
      <c r="A19" s="476"/>
      <c r="B19" s="476"/>
      <c r="C19" s="476"/>
      <c r="D19" s="476"/>
      <c r="E19" s="476"/>
      <c r="F19" s="476"/>
      <c r="G19" s="476"/>
      <c r="H19" s="476"/>
      <c r="I19" s="476"/>
      <c r="J19" s="476"/>
      <c r="K19" s="476"/>
      <c r="L19" s="11"/>
      <c r="M19" s="11"/>
      <c r="N19" s="11"/>
      <c r="O19" s="11"/>
      <c r="P19" s="11"/>
    </row>
    <row r="20" spans="1:16" ht="18" customHeight="1" x14ac:dyDescent="0.25">
      <c r="A20" s="1349" t="s">
        <v>861</v>
      </c>
      <c r="B20" s="1349"/>
      <c r="C20" s="1349"/>
      <c r="D20" s="1349"/>
      <c r="E20" s="476"/>
      <c r="F20" s="476"/>
      <c r="G20" s="476"/>
      <c r="H20" s="476"/>
      <c r="I20" s="476"/>
      <c r="J20" s="476"/>
      <c r="K20" s="476"/>
      <c r="L20" s="11"/>
      <c r="M20" s="11"/>
      <c r="N20" s="11"/>
      <c r="O20" s="11"/>
      <c r="P20" s="11"/>
    </row>
    <row r="21" spans="1:16" x14ac:dyDescent="0.25">
      <c r="A21" s="476"/>
      <c r="B21" s="476"/>
      <c r="C21" s="476"/>
      <c r="D21" s="476"/>
      <c r="E21" s="476"/>
      <c r="F21" s="476"/>
      <c r="G21" s="476"/>
      <c r="H21" s="476"/>
      <c r="I21" s="476"/>
      <c r="J21" s="476"/>
      <c r="K21" s="476"/>
      <c r="L21" s="11"/>
      <c r="M21" s="11"/>
      <c r="N21" s="11"/>
      <c r="O21" s="11"/>
      <c r="P21" s="11"/>
    </row>
    <row r="22" spans="1:16" ht="16.5" customHeight="1" x14ac:dyDescent="0.25">
      <c r="A22" s="476"/>
      <c r="B22" s="475">
        <v>1</v>
      </c>
      <c r="C22" s="1512" t="s">
        <v>862</v>
      </c>
      <c r="D22" s="1513"/>
      <c r="E22" s="1513"/>
      <c r="F22" s="1513"/>
      <c r="G22" s="1513"/>
      <c r="H22" s="1513"/>
      <c r="I22" s="1513"/>
      <c r="J22" s="1513"/>
      <c r="K22" s="1514"/>
      <c r="L22" s="1511" t="s">
        <v>863</v>
      </c>
      <c r="M22" s="1511"/>
      <c r="N22" s="11"/>
      <c r="O22" s="11"/>
      <c r="P22" s="11"/>
    </row>
    <row r="23" spans="1:16" x14ac:dyDescent="0.25">
      <c r="A23" s="476"/>
      <c r="B23" s="476"/>
      <c r="C23" s="476"/>
      <c r="D23" s="476"/>
      <c r="E23" s="476"/>
      <c r="F23" s="476"/>
      <c r="G23" s="476"/>
      <c r="H23" s="476"/>
      <c r="I23" s="476"/>
      <c r="J23" s="476"/>
      <c r="K23" s="476"/>
      <c r="L23" s="11"/>
      <c r="M23" s="11"/>
      <c r="N23" s="11"/>
      <c r="O23" s="11"/>
      <c r="P23" s="11"/>
    </row>
    <row r="24" spans="1:16" x14ac:dyDescent="0.25">
      <c r="A24" s="476"/>
      <c r="B24" s="476"/>
      <c r="C24" s="476"/>
      <c r="D24" s="476"/>
      <c r="E24" s="476"/>
      <c r="F24" s="476"/>
      <c r="G24" s="476"/>
      <c r="H24" s="476"/>
      <c r="I24" s="476"/>
      <c r="J24" s="476"/>
      <c r="K24" s="476"/>
      <c r="L24" s="11"/>
      <c r="M24" s="11"/>
      <c r="N24" s="11"/>
      <c r="O24" s="11"/>
      <c r="P24" s="11"/>
    </row>
    <row r="25" spans="1:16" hidden="1" x14ac:dyDescent="0.25">
      <c r="B25" s="476"/>
      <c r="C25" s="476"/>
      <c r="D25" s="476"/>
      <c r="E25" s="476"/>
      <c r="F25" s="476"/>
      <c r="G25" s="476"/>
      <c r="H25" s="476"/>
      <c r="I25" s="476"/>
      <c r="J25" s="476"/>
      <c r="K25" s="476"/>
      <c r="L25" s="11"/>
      <c r="M25" s="11"/>
      <c r="N25" s="11"/>
      <c r="O25" s="11"/>
      <c r="P25" s="11"/>
    </row>
    <row r="26" spans="1:16" hidden="1" x14ac:dyDescent="0.25">
      <c r="B26" s="476"/>
      <c r="C26" s="476"/>
      <c r="D26" s="476"/>
      <c r="E26" s="476"/>
      <c r="F26" s="476"/>
      <c r="G26" s="476"/>
      <c r="H26" s="476"/>
      <c r="I26" s="476"/>
      <c r="J26" s="476"/>
      <c r="K26" s="476"/>
      <c r="L26" s="11"/>
      <c r="M26" s="11"/>
      <c r="N26" s="11"/>
      <c r="O26" s="11"/>
      <c r="P26" s="11"/>
    </row>
    <row r="27" spans="1:16" hidden="1" x14ac:dyDescent="0.25">
      <c r="B27" s="16"/>
      <c r="C27" s="16"/>
      <c r="D27" s="16"/>
      <c r="E27" s="16"/>
      <c r="F27" s="16"/>
      <c r="G27" s="16"/>
      <c r="H27" s="16"/>
      <c r="I27" s="16"/>
      <c r="J27" s="16"/>
      <c r="K27" s="16"/>
      <c r="L27" s="12"/>
      <c r="M27" s="12"/>
      <c r="N27" s="12"/>
      <c r="O27" s="12"/>
      <c r="P27" s="12"/>
    </row>
    <row r="28" spans="1:16" hidden="1" x14ac:dyDescent="0.25">
      <c r="B28" s="16"/>
      <c r="C28" s="16"/>
      <c r="D28" s="16"/>
      <c r="E28" s="16"/>
      <c r="F28" s="16"/>
      <c r="G28" s="16"/>
      <c r="H28" s="16"/>
      <c r="I28" s="16"/>
      <c r="J28" s="16"/>
      <c r="K28" s="16"/>
      <c r="L28" s="12"/>
      <c r="M28" s="12"/>
      <c r="N28" s="12"/>
      <c r="O28" s="12"/>
      <c r="P28" s="12"/>
    </row>
    <row r="29" spans="1:16" hidden="1" x14ac:dyDescent="0.25">
      <c r="B29" s="12"/>
      <c r="C29" s="12"/>
      <c r="D29" s="12"/>
      <c r="E29" s="12"/>
      <c r="F29" s="12"/>
      <c r="G29" s="12"/>
      <c r="H29" s="12"/>
      <c r="I29" s="12"/>
      <c r="J29" s="12"/>
      <c r="K29" s="12"/>
      <c r="L29" s="12"/>
      <c r="M29" s="12"/>
      <c r="N29" s="12"/>
      <c r="O29" s="12"/>
      <c r="P29" s="12"/>
    </row>
    <row r="30" spans="1:16" hidden="1" x14ac:dyDescent="0.25">
      <c r="B30" s="12"/>
      <c r="C30" s="12"/>
      <c r="D30" s="12"/>
      <c r="E30" s="12"/>
      <c r="F30" s="12"/>
      <c r="G30" s="12"/>
      <c r="H30" s="12"/>
      <c r="I30" s="12"/>
      <c r="J30" s="12"/>
      <c r="K30" s="12"/>
      <c r="L30" s="12"/>
      <c r="M30" s="12"/>
      <c r="N30" s="12"/>
      <c r="O30" s="12"/>
      <c r="P30" s="12"/>
    </row>
    <row r="31" spans="1:16" hidden="1" x14ac:dyDescent="0.25">
      <c r="B31" s="12"/>
      <c r="C31" s="12"/>
      <c r="D31" s="12"/>
      <c r="E31" s="12"/>
      <c r="F31" s="12"/>
      <c r="G31" s="12"/>
      <c r="H31" s="12"/>
      <c r="I31" s="12"/>
      <c r="J31" s="12"/>
      <c r="K31" s="12"/>
      <c r="L31" s="12"/>
      <c r="M31" s="12"/>
      <c r="N31" s="12"/>
      <c r="O31" s="12"/>
      <c r="P31" s="12"/>
    </row>
    <row r="32" spans="1:16" hidden="1" x14ac:dyDescent="0.25">
      <c r="B32" s="12"/>
      <c r="C32" s="12"/>
      <c r="D32" s="12"/>
      <c r="E32" s="12"/>
      <c r="F32" s="12"/>
      <c r="G32" s="12"/>
      <c r="H32" s="12"/>
      <c r="I32" s="12"/>
      <c r="J32" s="12"/>
      <c r="K32" s="12"/>
      <c r="L32" s="12"/>
      <c r="M32" s="12"/>
      <c r="N32" s="12"/>
      <c r="O32" s="12"/>
      <c r="P32" s="12"/>
    </row>
    <row r="33" spans="2:16" hidden="1" x14ac:dyDescent="0.25">
      <c r="B33" s="12"/>
      <c r="C33" s="12"/>
      <c r="D33" s="12"/>
      <c r="E33" s="12"/>
      <c r="F33" s="12"/>
      <c r="G33" s="12"/>
      <c r="H33" s="12"/>
      <c r="I33" s="12"/>
      <c r="J33" s="12"/>
      <c r="K33" s="12"/>
      <c r="L33" s="12"/>
      <c r="M33" s="12"/>
      <c r="N33" s="12"/>
      <c r="O33" s="12"/>
      <c r="P33" s="12"/>
    </row>
    <row r="34" spans="2:16" hidden="1" x14ac:dyDescent="0.25">
      <c r="B34" s="12"/>
      <c r="C34" s="12"/>
      <c r="D34" s="12"/>
      <c r="E34" s="12"/>
      <c r="F34" s="12"/>
      <c r="G34" s="12"/>
      <c r="H34" s="12"/>
      <c r="I34" s="12"/>
      <c r="J34" s="12"/>
      <c r="K34" s="12"/>
      <c r="L34" s="12"/>
      <c r="M34" s="12"/>
      <c r="N34" s="12"/>
      <c r="O34" s="12"/>
      <c r="P34" s="12"/>
    </row>
    <row r="35" spans="2:16" hidden="1" x14ac:dyDescent="0.25"/>
    <row r="36" spans="2:16" hidden="1" x14ac:dyDescent="0.25"/>
  </sheetData>
  <sheetProtection algorithmName="SHA-512" hashValue="ynq4h9r30F+49Ygf76Ezs67fyOYBZw8O8hJQ7YDmpmZ1oRNlXh7BSPj+Lk36vYBZt958eeNn7p9kfeoATHYOJg==" saltValue="iEK4UO48C9XZ+3Qxic9QVg==" spinCount="100000" sheet="1" objects="1" scenarios="1"/>
  <mergeCells count="19">
    <mergeCell ref="A1:O1"/>
    <mergeCell ref="L7:M7"/>
    <mergeCell ref="L8:M8"/>
    <mergeCell ref="C7:K7"/>
    <mergeCell ref="C8:K8"/>
    <mergeCell ref="A2:O3"/>
    <mergeCell ref="A10:D10"/>
    <mergeCell ref="A5:D5"/>
    <mergeCell ref="C15:K15"/>
    <mergeCell ref="L15:M15"/>
    <mergeCell ref="C22:K22"/>
    <mergeCell ref="L22:M22"/>
    <mergeCell ref="C13:K13"/>
    <mergeCell ref="C14:K14"/>
    <mergeCell ref="L14:M14"/>
    <mergeCell ref="L13:M13"/>
    <mergeCell ref="C18:K18"/>
    <mergeCell ref="L18:M18"/>
    <mergeCell ref="A20:D20"/>
  </mergeCells>
  <dataValidations count="1">
    <dataValidation type="list" allowBlank="1" showInputMessage="1" showErrorMessage="1" sqref="L7:M8 L13:M15 L18:M18 L22:M22" xr:uid="{00000000-0002-0000-0700-000000000000}">
      <formula1>"Please confirm,Yes,No"</formula1>
    </dataValidation>
  </dataValidations>
  <pageMargins left="0.7" right="0.7" top="0.75" bottom="0.75" header="0.3" footer="0.3"/>
  <pageSetup orientation="portrait" horizontalDpi="30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P51"/>
  <sheetViews>
    <sheetView showRowColHeaders="0" workbookViewId="0">
      <pane ySplit="3" topLeftCell="A4" activePane="bottomLeft" state="frozen"/>
      <selection pane="bottomLeft" activeCell="C9" sqref="C9:K9"/>
    </sheetView>
  </sheetViews>
  <sheetFormatPr defaultColWidth="0" defaultRowHeight="15" customHeight="1" zeroHeight="1" x14ac:dyDescent="0.25"/>
  <cols>
    <col min="1" max="1" width="3.7109375" customWidth="1"/>
    <col min="2" max="2" width="9.7109375" customWidth="1"/>
    <col min="3" max="3" width="9.140625" customWidth="1"/>
    <col min="4" max="4" width="10" customWidth="1"/>
    <col min="5" max="10" width="9.140625" customWidth="1"/>
    <col min="11" max="11" width="11.7109375" customWidth="1"/>
    <col min="12" max="15" width="9.140625" customWidth="1"/>
    <col min="16" max="16" width="9.140625" hidden="1" customWidth="1"/>
    <col min="17" max="16384" width="9.140625" hidden="1"/>
  </cols>
  <sheetData>
    <row r="1" spans="1:16" ht="30" customHeight="1" x14ac:dyDescent="0.25">
      <c r="A1" s="1348" t="s">
        <v>1056</v>
      </c>
      <c r="B1" s="1348"/>
      <c r="C1" s="1348"/>
      <c r="D1" s="1348"/>
      <c r="E1" s="1348"/>
      <c r="F1" s="1348"/>
      <c r="G1" s="1348"/>
      <c r="H1" s="1348"/>
      <c r="I1" s="1348"/>
      <c r="J1" s="1348"/>
      <c r="K1" s="1348"/>
      <c r="L1" s="1348"/>
      <c r="M1" s="1348"/>
      <c r="N1" s="1348"/>
      <c r="O1" s="1348"/>
      <c r="P1" s="40"/>
    </row>
    <row r="2" spans="1:16" ht="18" customHeight="1" x14ac:dyDescent="0.25">
      <c r="A2" s="1515" t="s">
        <v>2668</v>
      </c>
      <c r="B2" s="1515"/>
      <c r="C2" s="1515"/>
      <c r="D2" s="1515"/>
      <c r="E2" s="1515"/>
      <c r="F2" s="1515"/>
      <c r="G2" s="1515"/>
      <c r="H2" s="1515"/>
      <c r="I2" s="1515"/>
      <c r="J2" s="1515"/>
      <c r="K2" s="1515"/>
      <c r="L2" s="1515"/>
      <c r="M2" s="1515"/>
      <c r="N2" s="1515"/>
      <c r="O2" s="1515"/>
      <c r="P2" s="116"/>
    </row>
    <row r="3" spans="1:16" ht="18" customHeight="1" x14ac:dyDescent="0.25">
      <c r="A3" s="1515"/>
      <c r="B3" s="1515"/>
      <c r="C3" s="1515"/>
      <c r="D3" s="1515"/>
      <c r="E3" s="1515"/>
      <c r="F3" s="1515"/>
      <c r="G3" s="1515"/>
      <c r="H3" s="1515"/>
      <c r="I3" s="1515"/>
      <c r="J3" s="1515"/>
      <c r="K3" s="1515"/>
      <c r="L3" s="1515"/>
      <c r="M3" s="1515"/>
      <c r="N3" s="1515"/>
      <c r="O3" s="1515"/>
      <c r="P3" s="116"/>
    </row>
    <row r="4" spans="1:16" ht="15" customHeight="1" x14ac:dyDescent="0.25">
      <c r="A4" s="476"/>
      <c r="B4" s="476"/>
      <c r="C4" s="476"/>
      <c r="D4" s="476"/>
      <c r="E4" s="476"/>
      <c r="F4" s="476"/>
      <c r="G4" s="476"/>
      <c r="H4" s="476"/>
      <c r="I4" s="476"/>
      <c r="J4" s="476"/>
      <c r="K4" s="476"/>
      <c r="L4" s="11"/>
      <c r="M4" s="11"/>
      <c r="N4" s="11"/>
      <c r="O4" s="11"/>
      <c r="P4" s="11"/>
    </row>
    <row r="5" spans="1:16" ht="18" customHeight="1" x14ac:dyDescent="0.25">
      <c r="A5" s="1349" t="s">
        <v>859</v>
      </c>
      <c r="B5" s="1349"/>
      <c r="C5" s="1349"/>
      <c r="D5" s="1349"/>
      <c r="E5" s="476"/>
      <c r="F5" s="476"/>
      <c r="G5" s="476"/>
      <c r="H5" s="476"/>
      <c r="I5" s="476"/>
      <c r="J5" s="476"/>
      <c r="K5" s="476"/>
      <c r="L5" s="11"/>
      <c r="M5" s="11"/>
      <c r="N5" s="11"/>
      <c r="O5" s="11"/>
      <c r="P5" s="11"/>
    </row>
    <row r="6" spans="1:16" x14ac:dyDescent="0.25">
      <c r="A6" s="476"/>
      <c r="B6" s="476"/>
      <c r="C6" s="476"/>
      <c r="D6" s="476"/>
      <c r="E6" s="476"/>
      <c r="F6" s="476"/>
      <c r="G6" s="476"/>
      <c r="H6" s="476"/>
      <c r="I6" s="476"/>
      <c r="J6" s="476"/>
      <c r="K6" s="476"/>
      <c r="L6" s="11"/>
      <c r="M6" s="11"/>
      <c r="N6" s="11"/>
      <c r="O6" s="11"/>
      <c r="P6" s="11"/>
    </row>
    <row r="7" spans="1:16" ht="18" customHeight="1" x14ac:dyDescent="0.25">
      <c r="A7" s="476"/>
      <c r="B7" s="475">
        <v>1</v>
      </c>
      <c r="C7" s="1512" t="s">
        <v>2568</v>
      </c>
      <c r="D7" s="1513"/>
      <c r="E7" s="1513"/>
      <c r="F7" s="1513"/>
      <c r="G7" s="1513"/>
      <c r="H7" s="1513"/>
      <c r="I7" s="1513"/>
      <c r="J7" s="1513"/>
      <c r="K7" s="1514"/>
      <c r="L7" s="1511" t="s">
        <v>863</v>
      </c>
      <c r="M7" s="1511"/>
      <c r="N7" s="11"/>
      <c r="O7" s="11"/>
      <c r="P7" s="11"/>
    </row>
    <row r="8" spans="1:16" ht="18" customHeight="1" x14ac:dyDescent="0.25">
      <c r="A8" s="476"/>
      <c r="B8" s="475">
        <v>2</v>
      </c>
      <c r="C8" s="1512" t="s">
        <v>2569</v>
      </c>
      <c r="D8" s="1513"/>
      <c r="E8" s="1513"/>
      <c r="F8" s="1513"/>
      <c r="G8" s="1513"/>
      <c r="H8" s="1513"/>
      <c r="I8" s="1513"/>
      <c r="J8" s="1513"/>
      <c r="K8" s="1514"/>
      <c r="L8" s="1511" t="s">
        <v>863</v>
      </c>
      <c r="M8" s="1511"/>
      <c r="N8" s="11"/>
      <c r="O8" s="11"/>
      <c r="P8" s="11"/>
    </row>
    <row r="9" spans="1:16" ht="18" customHeight="1" x14ac:dyDescent="0.25">
      <c r="A9" s="476"/>
      <c r="B9" s="475">
        <v>3</v>
      </c>
      <c r="C9" s="1512" t="s">
        <v>2570</v>
      </c>
      <c r="D9" s="1513"/>
      <c r="E9" s="1513"/>
      <c r="F9" s="1513"/>
      <c r="G9" s="1513"/>
      <c r="H9" s="1513"/>
      <c r="I9" s="1513"/>
      <c r="J9" s="1513"/>
      <c r="K9" s="1514"/>
      <c r="L9" s="1511" t="s">
        <v>863</v>
      </c>
      <c r="M9" s="1511"/>
      <c r="N9" s="11"/>
      <c r="O9" s="11"/>
      <c r="P9" s="11"/>
    </row>
    <row r="10" spans="1:16" ht="18" customHeight="1" x14ac:dyDescent="0.25">
      <c r="A10" s="476"/>
      <c r="B10" s="476"/>
      <c r="C10" s="476"/>
      <c r="D10" s="476"/>
      <c r="E10" s="476"/>
      <c r="F10" s="476"/>
      <c r="G10" s="476"/>
      <c r="H10" s="476"/>
      <c r="I10" s="476"/>
      <c r="J10" s="476"/>
      <c r="K10" s="476"/>
      <c r="L10" s="11"/>
      <c r="M10" s="11"/>
      <c r="N10" s="11"/>
      <c r="O10" s="11"/>
      <c r="P10" s="11"/>
    </row>
    <row r="11" spans="1:16" ht="18" customHeight="1" x14ac:dyDescent="0.25">
      <c r="A11" s="1349" t="s">
        <v>860</v>
      </c>
      <c r="B11" s="1349"/>
      <c r="C11" s="1349"/>
      <c r="D11" s="1349"/>
      <c r="E11" s="476"/>
      <c r="F11" s="476"/>
      <c r="G11" s="476"/>
      <c r="H11" s="476"/>
      <c r="I11" s="476"/>
      <c r="J11" s="476"/>
      <c r="K11" s="476"/>
      <c r="L11" s="11"/>
      <c r="M11" s="11"/>
      <c r="N11" s="11"/>
      <c r="O11" s="11"/>
      <c r="P11" s="11"/>
    </row>
    <row r="12" spans="1:16" ht="15" customHeight="1" x14ac:dyDescent="0.25">
      <c r="A12" s="476"/>
      <c r="B12" s="476"/>
      <c r="C12" s="476"/>
      <c r="D12" s="476"/>
      <c r="E12" s="476"/>
      <c r="F12" s="476"/>
      <c r="G12" s="476"/>
      <c r="H12" s="476"/>
      <c r="I12" s="476"/>
      <c r="J12" s="476"/>
      <c r="K12" s="476"/>
      <c r="L12" s="11"/>
      <c r="M12" s="11"/>
      <c r="N12" s="11"/>
      <c r="O12" s="11"/>
      <c r="P12" s="11"/>
    </row>
    <row r="13" spans="1:16" x14ac:dyDescent="0.25">
      <c r="A13" s="476"/>
      <c r="B13" s="476" t="s">
        <v>1038</v>
      </c>
      <c r="C13" s="476"/>
      <c r="D13" s="476"/>
      <c r="E13" s="476"/>
      <c r="F13" s="476"/>
      <c r="G13" s="476"/>
      <c r="H13" s="476"/>
      <c r="I13" s="476"/>
      <c r="J13" s="476"/>
      <c r="K13" s="476"/>
      <c r="L13" s="11"/>
      <c r="M13" s="11"/>
      <c r="N13" s="11"/>
      <c r="O13" s="11"/>
      <c r="P13" s="11"/>
    </row>
    <row r="14" spans="1:16" ht="16.5" customHeight="1" x14ac:dyDescent="0.25">
      <c r="A14" s="476"/>
      <c r="B14" s="475">
        <v>1</v>
      </c>
      <c r="C14" s="1512" t="s">
        <v>1035</v>
      </c>
      <c r="D14" s="1513"/>
      <c r="E14" s="1513"/>
      <c r="F14" s="1513"/>
      <c r="G14" s="1513"/>
      <c r="H14" s="1513"/>
      <c r="I14" s="1513"/>
      <c r="J14" s="1513"/>
      <c r="K14" s="1514"/>
      <c r="L14" s="1511" t="s">
        <v>863</v>
      </c>
      <c r="M14" s="1511"/>
      <c r="N14" s="11"/>
      <c r="O14" s="11"/>
      <c r="P14" s="11"/>
    </row>
    <row r="15" spans="1:16" ht="16.5" customHeight="1" x14ac:dyDescent="0.25">
      <c r="A15" s="476"/>
      <c r="B15" s="475">
        <v>2</v>
      </c>
      <c r="C15" s="1512" t="s">
        <v>1036</v>
      </c>
      <c r="D15" s="1513"/>
      <c r="E15" s="1513"/>
      <c r="F15" s="1513"/>
      <c r="G15" s="1513"/>
      <c r="H15" s="1513"/>
      <c r="I15" s="1513"/>
      <c r="J15" s="1513"/>
      <c r="K15" s="1514"/>
      <c r="L15" s="1511" t="s">
        <v>863</v>
      </c>
      <c r="M15" s="1511"/>
      <c r="N15" s="11"/>
      <c r="O15" s="11"/>
      <c r="P15" s="11"/>
    </row>
    <row r="16" spans="1:16" ht="42.75" customHeight="1" x14ac:dyDescent="0.25">
      <c r="A16" s="476"/>
      <c r="B16" s="475">
        <v>3</v>
      </c>
      <c r="C16" s="1508" t="s">
        <v>2365</v>
      </c>
      <c r="D16" s="1509"/>
      <c r="E16" s="1509"/>
      <c r="F16" s="1509"/>
      <c r="G16" s="1509"/>
      <c r="H16" s="1509"/>
      <c r="I16" s="1509"/>
      <c r="J16" s="1509"/>
      <c r="K16" s="1510"/>
      <c r="L16" s="1511" t="s">
        <v>863</v>
      </c>
      <c r="M16" s="1511"/>
      <c r="N16" s="11"/>
      <c r="O16" s="11"/>
      <c r="P16" s="11"/>
    </row>
    <row r="17" spans="1:16" ht="15" customHeight="1" x14ac:dyDescent="0.25">
      <c r="A17" s="476"/>
      <c r="B17" s="476"/>
      <c r="C17" s="476"/>
      <c r="D17" s="476"/>
      <c r="E17" s="476"/>
      <c r="F17" s="476"/>
      <c r="G17" s="476"/>
      <c r="H17" s="476"/>
      <c r="I17" s="476"/>
      <c r="J17" s="476"/>
      <c r="K17" s="476"/>
      <c r="L17" s="11"/>
      <c r="M17" s="11"/>
      <c r="N17" s="11"/>
      <c r="O17" s="11"/>
      <c r="P17" s="11"/>
    </row>
    <row r="18" spans="1:16" ht="18" customHeight="1" x14ac:dyDescent="0.25">
      <c r="A18" s="476"/>
      <c r="B18" s="476" t="s">
        <v>866</v>
      </c>
      <c r="C18" s="476"/>
      <c r="D18" s="476"/>
      <c r="E18" s="476"/>
      <c r="F18" s="476"/>
      <c r="G18" s="476"/>
      <c r="H18" s="476"/>
      <c r="I18" s="476"/>
      <c r="J18" s="476"/>
      <c r="K18" s="476"/>
      <c r="L18" s="11"/>
      <c r="M18" s="11"/>
      <c r="N18" s="11"/>
      <c r="O18" s="11"/>
      <c r="P18" s="11"/>
    </row>
    <row r="19" spans="1:16" ht="18" customHeight="1" x14ac:dyDescent="0.25">
      <c r="A19" s="476"/>
      <c r="B19" s="475">
        <v>1</v>
      </c>
      <c r="C19" s="1508" t="s">
        <v>1034</v>
      </c>
      <c r="D19" s="1509"/>
      <c r="E19" s="1509"/>
      <c r="F19" s="1509"/>
      <c r="G19" s="1509"/>
      <c r="H19" s="1509"/>
      <c r="I19" s="1509"/>
      <c r="J19" s="1509"/>
      <c r="K19" s="1510"/>
      <c r="L19" s="1511" t="s">
        <v>863</v>
      </c>
      <c r="M19" s="1511"/>
      <c r="N19" s="11"/>
      <c r="O19" s="11"/>
      <c r="P19" s="11"/>
    </row>
    <row r="20" spans="1:16" ht="18" customHeight="1" x14ac:dyDescent="0.25">
      <c r="A20" s="476"/>
      <c r="B20" s="475">
        <v>2</v>
      </c>
      <c r="C20" s="1508" t="s">
        <v>1039</v>
      </c>
      <c r="D20" s="1509"/>
      <c r="E20" s="1509"/>
      <c r="F20" s="1509"/>
      <c r="G20" s="1509"/>
      <c r="H20" s="1509"/>
      <c r="I20" s="1509"/>
      <c r="J20" s="1509"/>
      <c r="K20" s="1510"/>
      <c r="L20" s="1511" t="s">
        <v>863</v>
      </c>
      <c r="M20" s="1511"/>
      <c r="N20" s="11"/>
      <c r="O20" s="11"/>
      <c r="P20" s="11"/>
    </row>
    <row r="21" spans="1:16" ht="18" customHeight="1" x14ac:dyDescent="0.25">
      <c r="A21" s="476"/>
      <c r="B21" s="476"/>
      <c r="C21" s="476"/>
      <c r="D21" s="476"/>
      <c r="E21" s="476"/>
      <c r="F21" s="476"/>
      <c r="G21" s="476"/>
      <c r="H21" s="476"/>
      <c r="I21" s="476"/>
      <c r="J21" s="476"/>
      <c r="K21" s="476"/>
      <c r="L21" s="11"/>
      <c r="M21" s="11"/>
      <c r="N21" s="11"/>
      <c r="O21" s="11"/>
      <c r="P21" s="11"/>
    </row>
    <row r="22" spans="1:16" ht="18" customHeight="1" x14ac:dyDescent="0.25">
      <c r="A22" s="1349" t="s">
        <v>867</v>
      </c>
      <c r="B22" s="1349"/>
      <c r="C22" s="1349"/>
      <c r="D22" s="1349"/>
      <c r="E22" s="476"/>
      <c r="F22" s="476"/>
      <c r="G22" s="476"/>
      <c r="H22" s="476"/>
      <c r="I22" s="476"/>
      <c r="J22" s="476"/>
      <c r="K22" s="476"/>
      <c r="L22" s="11"/>
      <c r="M22" s="11"/>
      <c r="N22" s="11"/>
      <c r="O22" s="11"/>
      <c r="P22" s="11"/>
    </row>
    <row r="23" spans="1:16" ht="12" customHeight="1" x14ac:dyDescent="0.25">
      <c r="A23" s="476"/>
      <c r="B23" s="476"/>
      <c r="C23" s="476"/>
      <c r="D23" s="476"/>
      <c r="E23" s="476"/>
      <c r="F23" s="476"/>
      <c r="G23" s="476"/>
      <c r="H23" s="476"/>
      <c r="I23" s="476"/>
      <c r="J23" s="476"/>
      <c r="K23" s="476"/>
      <c r="L23" s="11"/>
      <c r="M23" s="11"/>
      <c r="N23" s="11"/>
      <c r="O23" s="11"/>
      <c r="P23" s="11"/>
    </row>
    <row r="24" spans="1:16" ht="18" customHeight="1" x14ac:dyDescent="0.25">
      <c r="A24" s="476"/>
      <c r="B24" s="476" t="s">
        <v>868</v>
      </c>
      <c r="C24" s="476"/>
      <c r="D24" s="476"/>
      <c r="E24" s="476"/>
      <c r="F24" s="476"/>
      <c r="G24" s="476"/>
      <c r="H24" s="476"/>
      <c r="I24" s="476"/>
      <c r="J24" s="476"/>
      <c r="K24" s="476"/>
      <c r="L24" s="11"/>
      <c r="M24" s="11"/>
      <c r="N24" s="11"/>
      <c r="O24" s="11"/>
      <c r="P24" s="11"/>
    </row>
    <row r="25" spans="1:16" ht="18" customHeight="1" x14ac:dyDescent="0.25">
      <c r="A25" s="476"/>
      <c r="B25" s="475">
        <v>1</v>
      </c>
      <c r="C25" s="1516" t="s">
        <v>1040</v>
      </c>
      <c r="D25" s="1516"/>
      <c r="E25" s="1516"/>
      <c r="F25" s="1516"/>
      <c r="G25" s="1516"/>
      <c r="H25" s="1516"/>
      <c r="I25" s="1516"/>
      <c r="J25" s="1516"/>
      <c r="K25" s="1516"/>
      <c r="L25" s="1511" t="s">
        <v>863</v>
      </c>
      <c r="M25" s="1511"/>
      <c r="N25" s="11"/>
      <c r="O25" s="11"/>
      <c r="P25" s="11"/>
    </row>
    <row r="26" spans="1:16" ht="18" customHeight="1" x14ac:dyDescent="0.25">
      <c r="A26" s="476"/>
      <c r="B26" s="475">
        <v>2</v>
      </c>
      <c r="C26" s="1516" t="s">
        <v>869</v>
      </c>
      <c r="D26" s="1516"/>
      <c r="E26" s="1516"/>
      <c r="F26" s="1516"/>
      <c r="G26" s="1516"/>
      <c r="H26" s="1516"/>
      <c r="I26" s="1516"/>
      <c r="J26" s="1516"/>
      <c r="K26" s="1516"/>
      <c r="L26" s="1511" t="s">
        <v>863</v>
      </c>
      <c r="M26" s="1511"/>
      <c r="N26" s="11"/>
      <c r="O26" s="11"/>
      <c r="P26" s="11"/>
    </row>
    <row r="27" spans="1:16" ht="18" customHeight="1" x14ac:dyDescent="0.25">
      <c r="A27" s="476"/>
      <c r="B27" s="475">
        <v>3</v>
      </c>
      <c r="C27" s="1516" t="s">
        <v>978</v>
      </c>
      <c r="D27" s="1516"/>
      <c r="E27" s="1516"/>
      <c r="F27" s="1516"/>
      <c r="G27" s="1516"/>
      <c r="H27" s="1516"/>
      <c r="I27" s="1516"/>
      <c r="J27" s="1516"/>
      <c r="K27" s="1516"/>
      <c r="L27" s="1511" t="s">
        <v>863</v>
      </c>
      <c r="M27" s="1511"/>
      <c r="N27" s="11"/>
      <c r="O27" s="11"/>
      <c r="P27" s="11"/>
    </row>
    <row r="28" spans="1:16" ht="18" customHeight="1" x14ac:dyDescent="0.25">
      <c r="A28" s="476"/>
      <c r="B28" s="475">
        <v>4</v>
      </c>
      <c r="C28" s="1516" t="s">
        <v>1041</v>
      </c>
      <c r="D28" s="1516"/>
      <c r="E28" s="1516"/>
      <c r="F28" s="1516"/>
      <c r="G28" s="1516"/>
      <c r="H28" s="1516"/>
      <c r="I28" s="1516"/>
      <c r="J28" s="1516"/>
      <c r="K28" s="1516"/>
      <c r="L28" s="1511" t="s">
        <v>863</v>
      </c>
      <c r="M28" s="1511"/>
      <c r="N28" s="11"/>
      <c r="O28" s="11"/>
      <c r="P28" s="11"/>
    </row>
    <row r="29" spans="1:16" ht="27.75" customHeight="1" x14ac:dyDescent="0.25">
      <c r="A29" s="476"/>
      <c r="B29" s="475">
        <v>5</v>
      </c>
      <c r="C29" s="1516" t="s">
        <v>1895</v>
      </c>
      <c r="D29" s="1516"/>
      <c r="E29" s="1516"/>
      <c r="F29" s="1516"/>
      <c r="G29" s="1516"/>
      <c r="H29" s="1516"/>
      <c r="I29" s="1516"/>
      <c r="J29" s="1516"/>
      <c r="K29" s="1516"/>
      <c r="L29" s="1511" t="s">
        <v>863</v>
      </c>
      <c r="M29" s="1511"/>
      <c r="N29" s="11"/>
      <c r="O29" s="11"/>
      <c r="P29" s="11"/>
    </row>
    <row r="30" spans="1:16" ht="18" customHeight="1" x14ac:dyDescent="0.25">
      <c r="A30" s="476"/>
      <c r="B30" s="475">
        <v>6</v>
      </c>
      <c r="C30" s="1516" t="s">
        <v>2405</v>
      </c>
      <c r="D30" s="1516"/>
      <c r="E30" s="1516"/>
      <c r="F30" s="1516"/>
      <c r="G30" s="1516"/>
      <c r="H30" s="1516"/>
      <c r="I30" s="1516"/>
      <c r="J30" s="1516"/>
      <c r="K30" s="1516"/>
      <c r="L30" s="1511" t="s">
        <v>863</v>
      </c>
      <c r="M30" s="1511"/>
      <c r="N30" s="11"/>
      <c r="O30" s="11"/>
      <c r="P30" s="11"/>
    </row>
    <row r="31" spans="1:16" x14ac:dyDescent="0.25">
      <c r="A31" s="476"/>
      <c r="B31" s="476"/>
      <c r="C31" s="476"/>
      <c r="D31" s="476"/>
      <c r="E31" s="476"/>
      <c r="F31" s="476"/>
      <c r="G31" s="476"/>
      <c r="H31" s="476"/>
      <c r="I31" s="476"/>
      <c r="J31" s="476"/>
      <c r="K31" s="476"/>
      <c r="L31" s="11"/>
      <c r="M31" s="11"/>
      <c r="N31" s="11"/>
      <c r="O31" s="11"/>
      <c r="P31" s="11"/>
    </row>
    <row r="32" spans="1:16" ht="18" customHeight="1" x14ac:dyDescent="0.25">
      <c r="A32" s="1349" t="s">
        <v>861</v>
      </c>
      <c r="B32" s="1349"/>
      <c r="C32" s="1349"/>
      <c r="D32" s="1349"/>
      <c r="E32" s="476"/>
      <c r="F32" s="476"/>
      <c r="G32" s="476"/>
      <c r="H32" s="476"/>
      <c r="I32" s="476"/>
      <c r="J32" s="476"/>
      <c r="K32" s="476"/>
      <c r="L32" s="11"/>
      <c r="M32" s="11"/>
      <c r="N32" s="11"/>
      <c r="O32" s="11"/>
      <c r="P32" s="11"/>
    </row>
    <row r="33" spans="1:16" x14ac:dyDescent="0.25">
      <c r="A33" s="476"/>
      <c r="B33" s="476"/>
      <c r="C33" s="476"/>
      <c r="D33" s="476"/>
      <c r="E33" s="476"/>
      <c r="F33" s="476"/>
      <c r="G33" s="476"/>
      <c r="H33" s="476"/>
      <c r="I33" s="476"/>
      <c r="J33" s="476"/>
      <c r="K33" s="476"/>
      <c r="L33" s="11"/>
      <c r="M33" s="11"/>
      <c r="N33" s="11"/>
      <c r="O33" s="11"/>
      <c r="P33" s="11"/>
    </row>
    <row r="34" spans="1:16" ht="16.5" customHeight="1" x14ac:dyDescent="0.25">
      <c r="A34" s="476"/>
      <c r="B34" s="475">
        <v>1</v>
      </c>
      <c r="C34" s="1512" t="s">
        <v>862</v>
      </c>
      <c r="D34" s="1513"/>
      <c r="E34" s="1513"/>
      <c r="F34" s="1513"/>
      <c r="G34" s="1513"/>
      <c r="H34" s="1513"/>
      <c r="I34" s="1513"/>
      <c r="J34" s="1513"/>
      <c r="K34" s="1514"/>
      <c r="L34" s="1511" t="s">
        <v>863</v>
      </c>
      <c r="M34" s="1511"/>
      <c r="N34" s="11"/>
      <c r="O34" s="11"/>
      <c r="P34" s="11"/>
    </row>
    <row r="35" spans="1:16" ht="18" customHeight="1" x14ac:dyDescent="0.25">
      <c r="A35" s="476"/>
      <c r="B35" s="475">
        <v>2</v>
      </c>
      <c r="C35" s="1512" t="s">
        <v>870</v>
      </c>
      <c r="D35" s="1513"/>
      <c r="E35" s="1513"/>
      <c r="F35" s="1513"/>
      <c r="G35" s="1513"/>
      <c r="H35" s="1513"/>
      <c r="I35" s="1513"/>
      <c r="J35" s="1513"/>
      <c r="K35" s="1514"/>
      <c r="L35" s="1511" t="s">
        <v>863</v>
      </c>
      <c r="M35" s="1511"/>
      <c r="N35" s="11"/>
      <c r="O35" s="11"/>
      <c r="P35" s="11"/>
    </row>
    <row r="36" spans="1:16" ht="26.25" customHeight="1" x14ac:dyDescent="0.25">
      <c r="A36" s="476"/>
      <c r="B36" s="475">
        <v>3</v>
      </c>
      <c r="C36" s="1516" t="s">
        <v>2571</v>
      </c>
      <c r="D36" s="1516"/>
      <c r="E36" s="1516"/>
      <c r="F36" s="1516"/>
      <c r="G36" s="1516"/>
      <c r="H36" s="1516"/>
      <c r="I36" s="1516"/>
      <c r="J36" s="1516"/>
      <c r="K36" s="1516"/>
      <c r="L36" s="1511" t="s">
        <v>863</v>
      </c>
      <c r="M36" s="1511"/>
      <c r="N36" s="11"/>
      <c r="O36" s="11"/>
      <c r="P36" s="11"/>
    </row>
    <row r="37" spans="1:16" x14ac:dyDescent="0.25">
      <c r="A37" s="476"/>
      <c r="B37" s="476"/>
      <c r="C37" s="476"/>
      <c r="D37" s="476"/>
      <c r="E37" s="476"/>
      <c r="F37" s="476"/>
      <c r="G37" s="476"/>
      <c r="H37" s="476"/>
      <c r="I37" s="476"/>
      <c r="J37" s="476"/>
      <c r="K37" s="476"/>
      <c r="L37" s="11"/>
      <c r="M37" s="11"/>
      <c r="N37" s="11"/>
      <c r="O37" s="11"/>
      <c r="P37" s="11"/>
    </row>
    <row r="38" spans="1:16" x14ac:dyDescent="0.25">
      <c r="A38" s="476"/>
      <c r="B38" s="476"/>
      <c r="C38" s="476"/>
      <c r="D38" s="476"/>
      <c r="E38" s="476"/>
      <c r="F38" s="476"/>
      <c r="G38" s="476"/>
      <c r="H38" s="476"/>
      <c r="I38" s="476"/>
      <c r="J38" s="476"/>
      <c r="K38" s="476"/>
      <c r="L38" s="11"/>
      <c r="M38" s="11"/>
      <c r="N38" s="11"/>
      <c r="O38" s="11"/>
      <c r="P38" s="11"/>
    </row>
    <row r="39" spans="1:16" hidden="1" x14ac:dyDescent="0.25">
      <c r="B39" s="476"/>
      <c r="C39" s="476"/>
      <c r="D39" s="476"/>
      <c r="E39" s="476"/>
      <c r="F39" s="476"/>
      <c r="G39" s="476"/>
      <c r="H39" s="476"/>
      <c r="I39" s="476"/>
      <c r="J39" s="476"/>
      <c r="K39" s="476"/>
      <c r="L39" s="11"/>
      <c r="M39" s="11"/>
      <c r="N39" s="11"/>
      <c r="O39" s="11"/>
      <c r="P39" s="11"/>
    </row>
    <row r="40" spans="1:16" hidden="1" x14ac:dyDescent="0.25">
      <c r="B40" s="476"/>
      <c r="C40" s="476"/>
      <c r="D40" s="476"/>
      <c r="E40" s="476"/>
      <c r="F40" s="476"/>
      <c r="G40" s="476"/>
      <c r="H40" s="476"/>
      <c r="I40" s="476"/>
      <c r="J40" s="476"/>
      <c r="K40" s="476"/>
      <c r="L40" s="11"/>
      <c r="M40" s="11"/>
      <c r="N40" s="11"/>
      <c r="O40" s="11"/>
      <c r="P40" s="11"/>
    </row>
    <row r="41" spans="1:16" hidden="1" x14ac:dyDescent="0.25">
      <c r="B41" s="16"/>
      <c r="C41" s="16"/>
      <c r="D41" s="16"/>
      <c r="E41" s="16"/>
      <c r="F41" s="16"/>
      <c r="G41" s="16"/>
      <c r="H41" s="16"/>
      <c r="I41" s="16"/>
      <c r="J41" s="16"/>
      <c r="K41" s="16"/>
      <c r="L41" s="12"/>
      <c r="M41" s="12"/>
      <c r="N41" s="12"/>
      <c r="O41" s="12"/>
      <c r="P41" s="12"/>
    </row>
    <row r="42" spans="1:16" hidden="1" x14ac:dyDescent="0.25">
      <c r="B42" s="16"/>
      <c r="C42" s="16"/>
      <c r="D42" s="16"/>
      <c r="E42" s="16"/>
      <c r="F42" s="16"/>
      <c r="G42" s="16"/>
      <c r="H42" s="16"/>
      <c r="I42" s="16"/>
      <c r="J42" s="16"/>
      <c r="K42" s="16"/>
      <c r="L42" s="12"/>
      <c r="M42" s="12"/>
      <c r="N42" s="12"/>
      <c r="O42" s="12"/>
      <c r="P42" s="12"/>
    </row>
    <row r="43" spans="1:16" hidden="1" x14ac:dyDescent="0.25">
      <c r="B43" s="12"/>
      <c r="C43" s="12"/>
      <c r="D43" s="12"/>
      <c r="E43" s="12"/>
      <c r="F43" s="12"/>
      <c r="G43" s="12"/>
      <c r="H43" s="12"/>
      <c r="I43" s="12"/>
      <c r="J43" s="12"/>
      <c r="K43" s="12"/>
      <c r="L43" s="12"/>
      <c r="M43" s="12"/>
      <c r="N43" s="12"/>
      <c r="O43" s="12"/>
      <c r="P43" s="12"/>
    </row>
    <row r="44" spans="1:16" hidden="1" x14ac:dyDescent="0.25">
      <c r="B44" s="12"/>
      <c r="C44" s="12"/>
      <c r="D44" s="12"/>
      <c r="E44" s="12"/>
      <c r="F44" s="12"/>
      <c r="G44" s="12"/>
      <c r="H44" s="12"/>
      <c r="I44" s="12"/>
      <c r="J44" s="12"/>
      <c r="K44" s="12"/>
      <c r="L44" s="12"/>
      <c r="M44" s="12"/>
      <c r="N44" s="12"/>
      <c r="O44" s="12"/>
      <c r="P44" s="12"/>
    </row>
    <row r="45" spans="1:16" hidden="1" x14ac:dyDescent="0.25">
      <c r="B45" s="12"/>
      <c r="C45" s="12"/>
      <c r="D45" s="12"/>
      <c r="E45" s="12"/>
      <c r="F45" s="12"/>
      <c r="G45" s="12"/>
      <c r="H45" s="12"/>
      <c r="I45" s="12"/>
      <c r="J45" s="12"/>
      <c r="K45" s="12"/>
      <c r="L45" s="12"/>
      <c r="M45" s="12"/>
      <c r="N45" s="12"/>
      <c r="O45" s="12"/>
      <c r="P45" s="12"/>
    </row>
    <row r="46" spans="1:16" hidden="1" x14ac:dyDescent="0.25">
      <c r="B46" s="12"/>
      <c r="C46" s="12"/>
      <c r="D46" s="12"/>
      <c r="E46" s="12"/>
      <c r="F46" s="12"/>
      <c r="G46" s="12"/>
      <c r="H46" s="12"/>
      <c r="I46" s="12"/>
      <c r="J46" s="12"/>
      <c r="K46" s="12"/>
      <c r="L46" s="12"/>
      <c r="M46" s="12"/>
      <c r="N46" s="12"/>
      <c r="O46" s="12"/>
      <c r="P46" s="12"/>
    </row>
    <row r="47" spans="1:16" hidden="1" x14ac:dyDescent="0.25">
      <c r="B47" s="12"/>
      <c r="C47" s="12"/>
      <c r="D47" s="12"/>
      <c r="E47" s="12"/>
      <c r="F47" s="12"/>
      <c r="G47" s="12"/>
      <c r="H47" s="12"/>
      <c r="I47" s="12"/>
      <c r="J47" s="12"/>
      <c r="K47" s="12"/>
      <c r="L47" s="12"/>
      <c r="M47" s="12"/>
      <c r="N47" s="12"/>
      <c r="O47" s="12"/>
      <c r="P47" s="12"/>
    </row>
    <row r="48" spans="1:16" hidden="1" x14ac:dyDescent="0.25">
      <c r="B48" s="12"/>
      <c r="C48" s="12"/>
      <c r="D48" s="12"/>
      <c r="E48" s="12"/>
      <c r="F48" s="12"/>
      <c r="G48" s="12"/>
      <c r="H48" s="12"/>
      <c r="I48" s="12"/>
      <c r="J48" s="12"/>
      <c r="K48" s="12"/>
      <c r="L48" s="12"/>
      <c r="M48" s="12"/>
      <c r="N48" s="12"/>
      <c r="O48" s="12"/>
      <c r="P48" s="12"/>
    </row>
    <row r="49" hidden="1" x14ac:dyDescent="0.25"/>
    <row r="50" ht="15" hidden="1" customHeight="1" x14ac:dyDescent="0.25"/>
    <row r="51" ht="15" hidden="1" customHeight="1" x14ac:dyDescent="0.25"/>
  </sheetData>
  <sheetProtection algorithmName="SHA-512" hashValue="kBEgBIPwvXq8sRAdvH29Dx1qMzXQyZKLqtFFKTg4jD+bfwjrJDDQMA6X7oLmDTaRCC2Ryrr2m0v8lIPg9Fc9XQ==" saltValue="4HfJZpHaL/BYFJntgN3IxA==" spinCount="100000" sheet="1" objects="1" scenarios="1"/>
  <mergeCells count="40">
    <mergeCell ref="A1:O1"/>
    <mergeCell ref="C7:K7"/>
    <mergeCell ref="L7:M7"/>
    <mergeCell ref="C8:K8"/>
    <mergeCell ref="L8:M8"/>
    <mergeCell ref="A5:D5"/>
    <mergeCell ref="A2:O3"/>
    <mergeCell ref="C9:K9"/>
    <mergeCell ref="L9:M9"/>
    <mergeCell ref="C14:K14"/>
    <mergeCell ref="L14:M14"/>
    <mergeCell ref="C15:K15"/>
    <mergeCell ref="L15:M15"/>
    <mergeCell ref="A11:D11"/>
    <mergeCell ref="C16:K16"/>
    <mergeCell ref="L16:M16"/>
    <mergeCell ref="C19:K19"/>
    <mergeCell ref="L19:M19"/>
    <mergeCell ref="C34:K34"/>
    <mergeCell ref="L34:M34"/>
    <mergeCell ref="C20:K20"/>
    <mergeCell ref="L20:M20"/>
    <mergeCell ref="C25:K25"/>
    <mergeCell ref="L25:M25"/>
    <mergeCell ref="C28:K28"/>
    <mergeCell ref="L28:M28"/>
    <mergeCell ref="A22:D22"/>
    <mergeCell ref="C30:K30"/>
    <mergeCell ref="L30:M30"/>
    <mergeCell ref="C35:K35"/>
    <mergeCell ref="L35:M35"/>
    <mergeCell ref="C36:K36"/>
    <mergeCell ref="L36:M36"/>
    <mergeCell ref="C26:K26"/>
    <mergeCell ref="L26:M26"/>
    <mergeCell ref="C27:K27"/>
    <mergeCell ref="L27:M27"/>
    <mergeCell ref="C29:K29"/>
    <mergeCell ref="L29:M29"/>
    <mergeCell ref="A32:D32"/>
  </mergeCells>
  <dataValidations count="1">
    <dataValidation type="list" allowBlank="1" showInputMessage="1" showErrorMessage="1" sqref="L7:M9 L14:M16 L34:M36 L19:M20 L25:M30" xr:uid="{00000000-0002-0000-0800-000000000000}">
      <formula1>"Please confirm,Yes,No"</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7</vt:i4>
      </vt:variant>
    </vt:vector>
  </HeadingPairs>
  <TitlesOfParts>
    <vt:vector size="70" baseType="lpstr">
      <vt:lpstr>Home</vt:lpstr>
      <vt:lpstr>Acknowledgments</vt:lpstr>
      <vt:lpstr>Introduction</vt:lpstr>
      <vt:lpstr>Instructions</vt:lpstr>
      <vt:lpstr>Recommendations</vt:lpstr>
      <vt:lpstr>Project information</vt:lpstr>
      <vt:lpstr>Application Form</vt:lpstr>
      <vt:lpstr>Pre-assessment checklist</vt:lpstr>
      <vt:lpstr>Certification stage checklist </vt:lpstr>
      <vt:lpstr>Scorecard</vt:lpstr>
      <vt:lpstr>Graphical Results</vt:lpstr>
      <vt:lpstr>Energy</vt:lpstr>
      <vt:lpstr>E-1 Passive Design</vt:lpstr>
      <vt:lpstr>E-2 Building Envelope</vt:lpstr>
      <vt:lpstr>E-3 Building Cooling</vt:lpstr>
      <vt:lpstr>E-4 Artificial Lighting</vt:lpstr>
      <vt:lpstr>E-5 Water Heating</vt:lpstr>
      <vt:lpstr>E-5 Energy Efficient Appliances</vt:lpstr>
      <vt:lpstr>E-6 Energy Monitor</vt:lpstr>
      <vt:lpstr>Energy BPC</vt:lpstr>
      <vt:lpstr>Water</vt:lpstr>
      <vt:lpstr>W-1 Water Efficient Fixtures</vt:lpstr>
      <vt:lpstr>W-2 Water Efficient Landscaping</vt:lpstr>
      <vt:lpstr>W-3 Drinking Water </vt:lpstr>
      <vt:lpstr>Water BPC</vt:lpstr>
      <vt:lpstr>Materials</vt:lpstr>
      <vt:lpstr>M-1 Structure Materials</vt:lpstr>
      <vt:lpstr>M-2 Non-structural Walls</vt:lpstr>
      <vt:lpstr>M-3 Windows and Doors</vt:lpstr>
      <vt:lpstr>M-4 Flooring Materials</vt:lpstr>
      <vt:lpstr>M-5 Roofing Materials</vt:lpstr>
      <vt:lpstr>M-6 Furniture</vt:lpstr>
      <vt:lpstr>Health &amp; Comfort</vt:lpstr>
      <vt:lpstr>H-1 Fresh Air Supply</vt:lpstr>
      <vt:lpstr>H-2 Ventilation in wet areas</vt:lpstr>
      <vt:lpstr>H-3 CO2 Monitoring</vt:lpstr>
      <vt:lpstr>H-4 Low-VOC Emissions</vt:lpstr>
      <vt:lpstr>H-5 Daylighting</vt:lpstr>
      <vt:lpstr>H-6 External Views</vt:lpstr>
      <vt:lpstr>H&amp;C BPC</vt:lpstr>
      <vt:lpstr>Local Environment</vt:lpstr>
      <vt:lpstr>LE-1 Site Selection</vt:lpstr>
      <vt:lpstr>LE-2 Site design</vt:lpstr>
      <vt:lpstr>LE-3 Vegetation</vt:lpstr>
      <vt:lpstr>LE-4 Heat Island Effect</vt:lpstr>
      <vt:lpstr>LE-5 Storm Water Runoff</vt:lpstr>
      <vt:lpstr>LE-6 Flood Risk Mitigation</vt:lpstr>
      <vt:lpstr>LE-7 Refrigerants</vt:lpstr>
      <vt:lpstr>LE-8 Recycling Storage Area</vt:lpstr>
      <vt:lpstr>Community &amp; Management</vt:lpstr>
      <vt:lpstr>CM-1 Design Stage</vt:lpstr>
      <vt:lpstr>CM-2 Construction Management</vt:lpstr>
      <vt:lpstr>CM-3 Operational Management</vt:lpstr>
      <vt:lpstr>CM-4 Access for PWD</vt:lpstr>
      <vt:lpstr>CM BPC</vt:lpstr>
      <vt:lpstr>Innovation</vt:lpstr>
      <vt:lpstr>Inn-1 Exceptional Performance </vt:lpstr>
      <vt:lpstr>Inn-2 Innovative Techniques</vt:lpstr>
      <vt:lpstr>Additional information</vt:lpstr>
      <vt:lpstr>Glossary</vt:lpstr>
      <vt:lpstr>Resources</vt:lpstr>
      <vt:lpstr>Rainfall Data</vt:lpstr>
      <vt:lpstr>Feedback</vt:lpstr>
      <vt:lpstr>basic_services</vt:lpstr>
      <vt:lpstr>buildingtype</vt:lpstr>
      <vt:lpstr>Locations</vt:lpstr>
      <vt:lpstr>'Application Form'!Print_Area</vt:lpstr>
      <vt:lpstr>slope</vt:lpstr>
      <vt:lpstr>space_types</vt:lpstr>
      <vt:lpstr>type_AC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xavier</dc:creator>
  <cp:lastModifiedBy>Xavier</cp:lastModifiedBy>
  <cp:lastPrinted>2016-08-31T03:24:56Z</cp:lastPrinted>
  <dcterms:created xsi:type="dcterms:W3CDTF">2015-09-08T04:37:16Z</dcterms:created>
  <dcterms:modified xsi:type="dcterms:W3CDTF">2018-12-07T02:44:37Z</dcterms:modified>
</cp:coreProperties>
</file>